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A:\DEAC - CTSP\01 - Licitações\06. Licitações 2025\PA 0726 - PS. TÉCNICOS ESPECIALIZADOS EM TECNOLOGIA DA INFORMAÇÃO - BM\"/>
    </mc:Choice>
  </mc:AlternateContent>
  <xr:revisionPtr revIDLastSave="0" documentId="8_{8A6451A3-11A0-416E-8F7C-CCAE202366AE}" xr6:coauthVersionLast="47" xr6:coauthVersionMax="47" xr10:uidLastSave="{00000000-0000-0000-0000-000000000000}"/>
  <bookViews>
    <workbookView xWindow="28680" yWindow="-120" windowWidth="29040" windowHeight="15720" tabRatio="927" xr2:uid="{5FEF3FC2-6B89-46F2-94B1-76CA7BE6423F}"/>
  </bookViews>
  <sheets>
    <sheet name="Arquiteto de Software Java" sheetId="17" r:id="rId1"/>
    <sheet name="Líder Técnico de Desev. De Soft" sheetId="12" r:id="rId2"/>
    <sheet name="Desenvolvedor Sênior Java" sheetId="9" r:id="rId3"/>
    <sheet name="Desenvolvedor Pleno Java" sheetId="1" r:id="rId4"/>
    <sheet name="Desenvolvedor Pleno PHP" sheetId="21" r:id="rId5"/>
    <sheet name="Eng Testes e Qualidade Sênior" sheetId="14" r:id="rId6"/>
    <sheet name="Analista de Testes Qualidade Pl" sheetId="18" r:id="rId7"/>
    <sheet name="Analista Negócio_Requi. Pleno" sheetId="15" r:id="rId8"/>
    <sheet name="Analista de BI Sênior" sheetId="10" r:id="rId9"/>
    <sheet name="Analista de UX_UI Pleno" sheetId="11" r:id="rId10"/>
    <sheet name="Engenheiro de IA Pleno" sheetId="20" r:id="rId11"/>
    <sheet name="Arquiteto de Dados Sênior" sheetId="22" r:id="rId12"/>
    <sheet name="Administrador de Dados Sênior" sheetId="23" r:id="rId13"/>
    <sheet name="Especialista em Cloud Sênior" sheetId="24" r:id="rId14"/>
    <sheet name="Totais" sheetId="4" r:id="rId15"/>
    <sheet name="Memória de cálculo" sheetId="8" r:id="rId16"/>
  </sheets>
  <definedNames>
    <definedName name="_xlnm.Print_Area" localSheetId="15">'Memória de cálculo'!$B$2:$D$85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4" l="1"/>
  <c r="D63" i="24"/>
  <c r="D63" i="23"/>
  <c r="D63" i="22"/>
  <c r="D63" i="20"/>
  <c r="D63" i="11"/>
  <c r="D63" i="10"/>
  <c r="D63" i="15"/>
  <c r="D63" i="18"/>
  <c r="D63" i="14"/>
  <c r="D63" i="21"/>
  <c r="D63" i="1"/>
  <c r="D63" i="9"/>
  <c r="D63" i="12"/>
  <c r="F16" i="4"/>
  <c r="C16" i="4"/>
  <c r="C83" i="24"/>
  <c r="C76" i="24"/>
  <c r="D61" i="24"/>
  <c r="D69" i="24" s="1"/>
  <c r="C45" i="24"/>
  <c r="C44" i="24"/>
  <c r="C36" i="24"/>
  <c r="C35" i="24"/>
  <c r="C46" i="24" s="1"/>
  <c r="C34" i="24"/>
  <c r="C37" i="24" s="1"/>
  <c r="C22" i="24"/>
  <c r="C21" i="24"/>
  <c r="C29" i="24" s="1"/>
  <c r="C17" i="24"/>
  <c r="C18" i="24" s="1"/>
  <c r="D5" i="24"/>
  <c r="F15" i="4"/>
  <c r="C15" i="4"/>
  <c r="C83" i="23"/>
  <c r="C76" i="23"/>
  <c r="D61" i="23"/>
  <c r="D69" i="23" s="1"/>
  <c r="C45" i="23"/>
  <c r="C44" i="23"/>
  <c r="C36" i="23"/>
  <c r="C35" i="23"/>
  <c r="C46" i="23" s="1"/>
  <c r="C34" i="23"/>
  <c r="C37" i="23" s="1"/>
  <c r="C22" i="23"/>
  <c r="C21" i="23"/>
  <c r="C29" i="23" s="1"/>
  <c r="C17" i="23"/>
  <c r="C18" i="23" s="1"/>
  <c r="D5" i="23"/>
  <c r="C14" i="4"/>
  <c r="C13" i="4"/>
  <c r="F13" i="4"/>
  <c r="C83" i="22"/>
  <c r="C76" i="22"/>
  <c r="D61" i="22"/>
  <c r="D69" i="22" s="1"/>
  <c r="C45" i="22"/>
  <c r="C44" i="22"/>
  <c r="C36" i="22"/>
  <c r="C35" i="22"/>
  <c r="C46" i="22" s="1"/>
  <c r="C34" i="22"/>
  <c r="C37" i="22" s="1"/>
  <c r="C22" i="22"/>
  <c r="C21" i="22"/>
  <c r="C29" i="22" s="1"/>
  <c r="C17" i="22"/>
  <c r="C18" i="22" s="1"/>
  <c r="D5" i="22"/>
  <c r="F14" i="4" s="1"/>
  <c r="D61" i="17"/>
  <c r="D61" i="20"/>
  <c r="D61" i="11"/>
  <c r="D61" i="10"/>
  <c r="D61" i="15"/>
  <c r="D61" i="18"/>
  <c r="D61" i="14"/>
  <c r="D61" i="21"/>
  <c r="D61" i="1"/>
  <c r="D61" i="12"/>
  <c r="D61" i="9"/>
  <c r="C11" i="4"/>
  <c r="C7" i="4"/>
  <c r="C83" i="21"/>
  <c r="C76" i="21"/>
  <c r="D69" i="21"/>
  <c r="C35" i="21"/>
  <c r="C46" i="21" s="1"/>
  <c r="C34" i="21"/>
  <c r="C44" i="21"/>
  <c r="C36" i="21"/>
  <c r="C45" i="21"/>
  <c r="C22" i="21"/>
  <c r="C21" i="21"/>
  <c r="C29" i="21" s="1"/>
  <c r="C17" i="21"/>
  <c r="C18" i="21" s="1"/>
  <c r="C40" i="21" s="1"/>
  <c r="C41" i="21" s="1"/>
  <c r="D5" i="21"/>
  <c r="C6" i="4"/>
  <c r="C83" i="20"/>
  <c r="D69" i="20"/>
  <c r="C35" i="20"/>
  <c r="C46" i="20" s="1"/>
  <c r="C34" i="20"/>
  <c r="C44" i="20"/>
  <c r="C45" i="20"/>
  <c r="C22" i="20"/>
  <c r="C21" i="20"/>
  <c r="C29" i="20" s="1"/>
  <c r="C17" i="20"/>
  <c r="C18" i="20" s="1"/>
  <c r="C40" i="20" s="1"/>
  <c r="C41" i="20" s="1"/>
  <c r="D5" i="20"/>
  <c r="C12" i="4"/>
  <c r="C10" i="4"/>
  <c r="C8" i="4"/>
  <c r="C9" i="4"/>
  <c r="C83" i="18"/>
  <c r="D69" i="18"/>
  <c r="C35" i="18"/>
  <c r="C46" i="18" s="1"/>
  <c r="C34" i="18"/>
  <c r="C44" i="18"/>
  <c r="C36" i="18"/>
  <c r="C45" i="18"/>
  <c r="C22" i="18"/>
  <c r="C21" i="18"/>
  <c r="C29" i="18" s="1"/>
  <c r="C17" i="18"/>
  <c r="C18" i="18" s="1"/>
  <c r="C50" i="18" s="1"/>
  <c r="D5" i="18"/>
  <c r="F9" i="4" s="1"/>
  <c r="C3" i="4"/>
  <c r="C83" i="17"/>
  <c r="D69" i="17"/>
  <c r="C35" i="17"/>
  <c r="C46" i="17" s="1"/>
  <c r="C34" i="17"/>
  <c r="C44" i="17"/>
  <c r="C45" i="17"/>
  <c r="C22" i="17"/>
  <c r="C21" i="17"/>
  <c r="C29" i="17" s="1"/>
  <c r="C17" i="17"/>
  <c r="C18" i="17" s="1"/>
  <c r="C50" i="17" s="1"/>
  <c r="D5" i="17"/>
  <c r="D46" i="24" l="1"/>
  <c r="D45" i="24"/>
  <c r="D44" i="24"/>
  <c r="D47" i="24" s="1"/>
  <c r="D36" i="24"/>
  <c r="D35" i="24"/>
  <c r="D34" i="24"/>
  <c r="D33" i="24"/>
  <c r="D32" i="24"/>
  <c r="D37" i="24" s="1"/>
  <c r="D28" i="24"/>
  <c r="D27" i="24"/>
  <c r="D26" i="24"/>
  <c r="D25" i="24"/>
  <c r="D24" i="24"/>
  <c r="D23" i="24"/>
  <c r="D22" i="24"/>
  <c r="D21" i="24"/>
  <c r="D29" i="24" s="1"/>
  <c r="D17" i="24"/>
  <c r="D16" i="24"/>
  <c r="D15" i="24"/>
  <c r="D14" i="24"/>
  <c r="D13" i="24"/>
  <c r="D12" i="24"/>
  <c r="D11" i="24"/>
  <c r="D18" i="24" s="1"/>
  <c r="C50" i="24"/>
  <c r="C40" i="24"/>
  <c r="C47" i="24"/>
  <c r="D46" i="23"/>
  <c r="D45" i="23"/>
  <c r="D44" i="23"/>
  <c r="D47" i="23" s="1"/>
  <c r="D36" i="23"/>
  <c r="D35" i="23"/>
  <c r="D34" i="23"/>
  <c r="D33" i="23"/>
  <c r="D32" i="23"/>
  <c r="D37" i="23" s="1"/>
  <c r="D28" i="23"/>
  <c r="D27" i="23"/>
  <c r="D26" i="23"/>
  <c r="D25" i="23"/>
  <c r="D24" i="23"/>
  <c r="D23" i="23"/>
  <c r="D22" i="23"/>
  <c r="D21" i="23"/>
  <c r="D29" i="23" s="1"/>
  <c r="D17" i="23"/>
  <c r="D16" i="23"/>
  <c r="D15" i="23"/>
  <c r="D14" i="23"/>
  <c r="D13" i="23"/>
  <c r="D12" i="23"/>
  <c r="D11" i="23"/>
  <c r="D18" i="23" s="1"/>
  <c r="C50" i="23"/>
  <c r="C40" i="23"/>
  <c r="C47" i="23"/>
  <c r="D46" i="22"/>
  <c r="D45" i="22"/>
  <c r="D44" i="22"/>
  <c r="D47" i="22" s="1"/>
  <c r="D36" i="22"/>
  <c r="D35" i="22"/>
  <c r="D34" i="22"/>
  <c r="D33" i="22"/>
  <c r="D32" i="22"/>
  <c r="D37" i="22" s="1"/>
  <c r="D28" i="22"/>
  <c r="D27" i="22"/>
  <c r="D26" i="22"/>
  <c r="D25" i="22"/>
  <c r="D24" i="22"/>
  <c r="D23" i="22"/>
  <c r="D22" i="22"/>
  <c r="D21" i="22"/>
  <c r="D29" i="22" s="1"/>
  <c r="D17" i="22"/>
  <c r="D16" i="22"/>
  <c r="D15" i="22"/>
  <c r="D14" i="22"/>
  <c r="D13" i="22"/>
  <c r="D12" i="22"/>
  <c r="D11" i="22"/>
  <c r="D18" i="22" s="1"/>
  <c r="C50" i="22"/>
  <c r="C40" i="22"/>
  <c r="C47" i="22"/>
  <c r="D46" i="21"/>
  <c r="F7" i="4"/>
  <c r="D28" i="21"/>
  <c r="D46" i="17"/>
  <c r="F3" i="4"/>
  <c r="C47" i="21"/>
  <c r="D36" i="21"/>
  <c r="C37" i="21"/>
  <c r="D27" i="21"/>
  <c r="D21" i="21"/>
  <c r="D24" i="21"/>
  <c r="C50" i="21"/>
  <c r="D12" i="21"/>
  <c r="D13" i="21"/>
  <c r="D16" i="21"/>
  <c r="D25" i="21"/>
  <c r="D34" i="21"/>
  <c r="D45" i="21"/>
  <c r="D40" i="21"/>
  <c r="D41" i="21" s="1"/>
  <c r="D23" i="21"/>
  <c r="D44" i="21"/>
  <c r="D47" i="21" s="1"/>
  <c r="D22" i="21"/>
  <c r="D11" i="21"/>
  <c r="D32" i="21"/>
  <c r="D14" i="21"/>
  <c r="D33" i="21"/>
  <c r="D15" i="21"/>
  <c r="D17" i="21"/>
  <c r="D26" i="21"/>
  <c r="D35" i="21"/>
  <c r="D27" i="20"/>
  <c r="D28" i="20"/>
  <c r="C47" i="20"/>
  <c r="D46" i="20"/>
  <c r="C50" i="20"/>
  <c r="D21" i="20"/>
  <c r="D12" i="20"/>
  <c r="D23" i="20"/>
  <c r="C76" i="20"/>
  <c r="D11" i="20"/>
  <c r="D32" i="20"/>
  <c r="D16" i="20"/>
  <c r="D25" i="20"/>
  <c r="D34" i="20"/>
  <c r="D45" i="20"/>
  <c r="C36" i="20"/>
  <c r="D22" i="20"/>
  <c r="D40" i="20"/>
  <c r="D41" i="20" s="1"/>
  <c r="D13" i="20"/>
  <c r="D14" i="20"/>
  <c r="D44" i="20"/>
  <c r="D47" i="20" s="1"/>
  <c r="D24" i="20"/>
  <c r="D33" i="20"/>
  <c r="D15" i="20"/>
  <c r="D17" i="20"/>
  <c r="D26" i="20"/>
  <c r="D35" i="20"/>
  <c r="C76" i="18"/>
  <c r="D28" i="18"/>
  <c r="D36" i="18"/>
  <c r="C37" i="18"/>
  <c r="D50" i="18"/>
  <c r="D51" i="18" s="1"/>
  <c r="C51" i="18"/>
  <c r="C47" i="18"/>
  <c r="D46" i="18"/>
  <c r="D27" i="18"/>
  <c r="D21" i="18"/>
  <c r="C40" i="18"/>
  <c r="C41" i="18" s="1"/>
  <c r="D22" i="18"/>
  <c r="D11" i="18"/>
  <c r="D12" i="18"/>
  <c r="D32" i="18"/>
  <c r="D14" i="18"/>
  <c r="D33" i="18"/>
  <c r="D24" i="18"/>
  <c r="D44" i="18"/>
  <c r="D15" i="18"/>
  <c r="D16" i="18"/>
  <c r="D25" i="18"/>
  <c r="D34" i="18"/>
  <c r="D45" i="18"/>
  <c r="D23" i="18"/>
  <c r="D13" i="18"/>
  <c r="D17" i="18"/>
  <c r="D26" i="18"/>
  <c r="D35" i="18"/>
  <c r="D27" i="17"/>
  <c r="D28" i="17"/>
  <c r="C76" i="17"/>
  <c r="C47" i="17"/>
  <c r="D50" i="17"/>
  <c r="D51" i="17" s="1"/>
  <c r="C51" i="17"/>
  <c r="D11" i="17"/>
  <c r="D21" i="17"/>
  <c r="C40" i="17"/>
  <c r="C41" i="17" s="1"/>
  <c r="D24" i="17"/>
  <c r="D44" i="17"/>
  <c r="D16" i="17"/>
  <c r="D25" i="17"/>
  <c r="D34" i="17"/>
  <c r="D45" i="17"/>
  <c r="C36" i="17"/>
  <c r="D22" i="17"/>
  <c r="D23" i="17"/>
  <c r="D13" i="17"/>
  <c r="D14" i="17"/>
  <c r="D33" i="17"/>
  <c r="D15" i="17"/>
  <c r="D12" i="17"/>
  <c r="D32" i="17"/>
  <c r="D17" i="17"/>
  <c r="D26" i="17"/>
  <c r="D35" i="17"/>
  <c r="C76" i="15"/>
  <c r="C76" i="10"/>
  <c r="C76" i="11"/>
  <c r="C76" i="12"/>
  <c r="D5" i="10"/>
  <c r="D28" i="10" s="1"/>
  <c r="D15" i="10"/>
  <c r="C17" i="10"/>
  <c r="C21" i="10"/>
  <c r="C22" i="10"/>
  <c r="C29" i="10" s="1"/>
  <c r="D27" i="10"/>
  <c r="C34" i="10"/>
  <c r="C35" i="10"/>
  <c r="C44" i="10"/>
  <c r="C45" i="10"/>
  <c r="D69" i="10"/>
  <c r="C83" i="10"/>
  <c r="C4" i="4"/>
  <c r="C5" i="4"/>
  <c r="D69" i="15"/>
  <c r="C83" i="15"/>
  <c r="C35" i="15"/>
  <c r="C46" i="15" s="1"/>
  <c r="C34" i="15"/>
  <c r="C36" i="15"/>
  <c r="C45" i="15"/>
  <c r="C22" i="15"/>
  <c r="C21" i="15"/>
  <c r="C29" i="15" s="1"/>
  <c r="C18" i="15"/>
  <c r="D5" i="15"/>
  <c r="C83" i="14"/>
  <c r="C76" i="14"/>
  <c r="D69" i="14"/>
  <c r="C35" i="14"/>
  <c r="C46" i="14" s="1"/>
  <c r="C34" i="14"/>
  <c r="C44" i="14"/>
  <c r="C36" i="14"/>
  <c r="C45" i="14"/>
  <c r="C22" i="14"/>
  <c r="C21" i="14"/>
  <c r="C17" i="14"/>
  <c r="C18" i="14" s="1"/>
  <c r="D5" i="14"/>
  <c r="F8" i="4" s="1"/>
  <c r="C83" i="12"/>
  <c r="D69" i="12"/>
  <c r="C36" i="12"/>
  <c r="C35" i="12"/>
  <c r="C46" i="12" s="1"/>
  <c r="C34" i="12"/>
  <c r="C45" i="12"/>
  <c r="C22" i="12"/>
  <c r="C21" i="12"/>
  <c r="C29" i="12" s="1"/>
  <c r="C17" i="12"/>
  <c r="C18" i="12" s="1"/>
  <c r="D5" i="12"/>
  <c r="F4" i="4" s="1"/>
  <c r="C83" i="11"/>
  <c r="D69" i="11"/>
  <c r="C35" i="11"/>
  <c r="C46" i="11" s="1"/>
  <c r="C34" i="11"/>
  <c r="C44" i="11"/>
  <c r="C36" i="11"/>
  <c r="C45" i="11"/>
  <c r="C22" i="11"/>
  <c r="C21" i="11"/>
  <c r="C29" i="11" s="1"/>
  <c r="C17" i="11"/>
  <c r="C18" i="11" s="1"/>
  <c r="D5" i="11"/>
  <c r="C41" i="24" l="1"/>
  <c r="D40" i="24"/>
  <c r="D41" i="24" s="1"/>
  <c r="C51" i="24"/>
  <c r="C53" i="24" s="1"/>
  <c r="D50" i="24"/>
  <c r="D51" i="24" s="1"/>
  <c r="D53" i="24" s="1"/>
  <c r="D55" i="24" s="1"/>
  <c r="D71" i="24" s="1"/>
  <c r="C41" i="23"/>
  <c r="D40" i="23"/>
  <c r="D41" i="23" s="1"/>
  <c r="C51" i="23"/>
  <c r="C53" i="23" s="1"/>
  <c r="D50" i="23"/>
  <c r="D51" i="23" s="1"/>
  <c r="D53" i="23" s="1"/>
  <c r="D55" i="23" s="1"/>
  <c r="D71" i="23" s="1"/>
  <c r="C41" i="22"/>
  <c r="D40" i="22"/>
  <c r="D41" i="22" s="1"/>
  <c r="C51" i="22"/>
  <c r="C53" i="22" s="1"/>
  <c r="D50" i="22"/>
  <c r="D51" i="22" s="1"/>
  <c r="D53" i="22" s="1"/>
  <c r="D55" i="22" s="1"/>
  <c r="D71" i="22" s="1"/>
  <c r="F12" i="4"/>
  <c r="D32" i="11"/>
  <c r="F10" i="4"/>
  <c r="D32" i="15"/>
  <c r="C37" i="14"/>
  <c r="C37" i="11"/>
  <c r="D37" i="21"/>
  <c r="D50" i="21"/>
  <c r="D51" i="21" s="1"/>
  <c r="C51" i="21"/>
  <c r="C53" i="21" s="1"/>
  <c r="D18" i="21"/>
  <c r="D29" i="21"/>
  <c r="D29" i="20"/>
  <c r="D50" i="20"/>
  <c r="D51" i="20" s="1"/>
  <c r="C51" i="20"/>
  <c r="D18" i="20"/>
  <c r="C37" i="20"/>
  <c r="D36" i="20"/>
  <c r="D37" i="20" s="1"/>
  <c r="D45" i="11"/>
  <c r="D45" i="10"/>
  <c r="D12" i="10"/>
  <c r="D22" i="10"/>
  <c r="D32" i="10"/>
  <c r="D21" i="10"/>
  <c r="D26" i="10"/>
  <c r="D13" i="10"/>
  <c r="D34" i="10"/>
  <c r="D14" i="10"/>
  <c r="D25" i="10"/>
  <c r="D44" i="10"/>
  <c r="D24" i="10"/>
  <c r="D35" i="10"/>
  <c r="D23" i="10"/>
  <c r="D29" i="10" s="1"/>
  <c r="D17" i="10"/>
  <c r="D11" i="10"/>
  <c r="F11" i="4"/>
  <c r="D33" i="10"/>
  <c r="D16" i="10"/>
  <c r="D11" i="15"/>
  <c r="D22" i="15"/>
  <c r="D29" i="18"/>
  <c r="D18" i="18"/>
  <c r="C53" i="18"/>
  <c r="D40" i="18"/>
  <c r="D41" i="18" s="1"/>
  <c r="D47" i="18"/>
  <c r="D37" i="18"/>
  <c r="D28" i="14"/>
  <c r="D14" i="14"/>
  <c r="D14" i="12"/>
  <c r="D15" i="12"/>
  <c r="D25" i="12"/>
  <c r="D16" i="12"/>
  <c r="D35" i="12"/>
  <c r="D26" i="12"/>
  <c r="D36" i="12"/>
  <c r="D47" i="17"/>
  <c r="D40" i="17"/>
  <c r="D41" i="17" s="1"/>
  <c r="D18" i="17"/>
  <c r="D29" i="17"/>
  <c r="C37" i="17"/>
  <c r="C53" i="17" s="1"/>
  <c r="D36" i="17"/>
  <c r="D37" i="17" s="1"/>
  <c r="D53" i="17" s="1"/>
  <c r="D55" i="17" s="1"/>
  <c r="D71" i="17" s="1"/>
  <c r="D10" i="15"/>
  <c r="D18" i="10"/>
  <c r="C46" i="10"/>
  <c r="D46" i="10" s="1"/>
  <c r="C18" i="10"/>
  <c r="C36" i="10"/>
  <c r="D13" i="15"/>
  <c r="D14" i="15"/>
  <c r="D15" i="15"/>
  <c r="D16" i="15"/>
  <c r="D25" i="15"/>
  <c r="D21" i="15"/>
  <c r="D26" i="15"/>
  <c r="D35" i="15"/>
  <c r="D36" i="15"/>
  <c r="D15" i="14"/>
  <c r="D24" i="14"/>
  <c r="D32" i="14"/>
  <c r="D16" i="14"/>
  <c r="D26" i="14"/>
  <c r="D46" i="14"/>
  <c r="D12" i="14"/>
  <c r="D22" i="14"/>
  <c r="D21" i="14"/>
  <c r="D34" i="14"/>
  <c r="D11" i="14"/>
  <c r="D36" i="14"/>
  <c r="D13" i="14"/>
  <c r="D21" i="12"/>
  <c r="D11" i="12"/>
  <c r="D22" i="12"/>
  <c r="D32" i="12"/>
  <c r="D13" i="12"/>
  <c r="D21" i="11"/>
  <c r="D34" i="11"/>
  <c r="D13" i="11"/>
  <c r="D22" i="11"/>
  <c r="D36" i="11"/>
  <c r="D46" i="11"/>
  <c r="D14" i="11"/>
  <c r="D35" i="11"/>
  <c r="D25" i="11"/>
  <c r="D11" i="11"/>
  <c r="D12" i="11"/>
  <c r="D26" i="11"/>
  <c r="D15" i="11"/>
  <c r="D28" i="11"/>
  <c r="D16" i="11"/>
  <c r="D24" i="11"/>
  <c r="C40" i="15"/>
  <c r="C41" i="15" s="1"/>
  <c r="C50" i="15"/>
  <c r="D46" i="15"/>
  <c r="C37" i="15"/>
  <c r="C44" i="15"/>
  <c r="D17" i="15"/>
  <c r="D23" i="15"/>
  <c r="D27" i="15"/>
  <c r="D33" i="15"/>
  <c r="D45" i="15"/>
  <c r="D12" i="15"/>
  <c r="D24" i="15"/>
  <c r="D28" i="15"/>
  <c r="D34" i="15"/>
  <c r="C50" i="14"/>
  <c r="D45" i="14"/>
  <c r="C47" i="14"/>
  <c r="D44" i="14"/>
  <c r="C29" i="14"/>
  <c r="C40" i="14" s="1"/>
  <c r="D25" i="14"/>
  <c r="D35" i="14"/>
  <c r="D17" i="14"/>
  <c r="D23" i="14"/>
  <c r="D27" i="14"/>
  <c r="D33" i="14"/>
  <c r="C40" i="12"/>
  <c r="C41" i="12" s="1"/>
  <c r="C50" i="12"/>
  <c r="D46" i="12"/>
  <c r="C37" i="12"/>
  <c r="D17" i="12"/>
  <c r="D23" i="12"/>
  <c r="D27" i="12"/>
  <c r="D33" i="12"/>
  <c r="D45" i="12"/>
  <c r="C44" i="12"/>
  <c r="D12" i="12"/>
  <c r="D24" i="12"/>
  <c r="D28" i="12"/>
  <c r="D34" i="12"/>
  <c r="D40" i="12"/>
  <c r="D41" i="12" s="1"/>
  <c r="C47" i="11"/>
  <c r="D44" i="11"/>
  <c r="D47" i="11" s="1"/>
  <c r="C40" i="11"/>
  <c r="C50" i="11"/>
  <c r="D17" i="11"/>
  <c r="D23" i="11"/>
  <c r="D27" i="11"/>
  <c r="D33" i="11"/>
  <c r="D74" i="24" l="1"/>
  <c r="D75" i="24" s="1"/>
  <c r="D76" i="24" s="1"/>
  <c r="D74" i="23"/>
  <c r="D75" i="23" s="1"/>
  <c r="D76" i="23" s="1"/>
  <c r="D74" i="22"/>
  <c r="D75" i="22" s="1"/>
  <c r="D76" i="22" s="1"/>
  <c r="D37" i="12"/>
  <c r="D53" i="21"/>
  <c r="D55" i="21" s="1"/>
  <c r="D71" i="21" s="1"/>
  <c r="C53" i="20"/>
  <c r="D53" i="20"/>
  <c r="D55" i="20" s="1"/>
  <c r="D71" i="20" s="1"/>
  <c r="D18" i="11"/>
  <c r="D37" i="11"/>
  <c r="D47" i="10"/>
  <c r="D53" i="18"/>
  <c r="D55" i="18" s="1"/>
  <c r="D71" i="18" s="1"/>
  <c r="D74" i="18" s="1"/>
  <c r="D37" i="14"/>
  <c r="D18" i="12"/>
  <c r="D74" i="17"/>
  <c r="D75" i="17" s="1"/>
  <c r="D76" i="17" s="1"/>
  <c r="D81" i="17" s="1"/>
  <c r="D36" i="10"/>
  <c r="D37" i="10" s="1"/>
  <c r="C37" i="10"/>
  <c r="C50" i="10"/>
  <c r="C40" i="10"/>
  <c r="C47" i="10"/>
  <c r="D40" i="15"/>
  <c r="D41" i="15" s="1"/>
  <c r="D37" i="15"/>
  <c r="D29" i="15"/>
  <c r="D18" i="15"/>
  <c r="D29" i="14"/>
  <c r="D18" i="14"/>
  <c r="D47" i="14"/>
  <c r="D29" i="12"/>
  <c r="D29" i="11"/>
  <c r="D50" i="15"/>
  <c r="D51" i="15" s="1"/>
  <c r="C51" i="15"/>
  <c r="C47" i="15"/>
  <c r="D44" i="15"/>
  <c r="D47" i="15" s="1"/>
  <c r="C41" i="14"/>
  <c r="D40" i="14"/>
  <c r="D41" i="14" s="1"/>
  <c r="C51" i="14"/>
  <c r="D50" i="14"/>
  <c r="D51" i="14" s="1"/>
  <c r="C47" i="12"/>
  <c r="D44" i="12"/>
  <c r="D47" i="12" s="1"/>
  <c r="D50" i="12"/>
  <c r="D51" i="12" s="1"/>
  <c r="C51" i="12"/>
  <c r="C53" i="12" s="1"/>
  <c r="C41" i="11"/>
  <c r="D40" i="11"/>
  <c r="D41" i="11" s="1"/>
  <c r="D50" i="11"/>
  <c r="D51" i="11" s="1"/>
  <c r="D53" i="11" s="1"/>
  <c r="D55" i="11" s="1"/>
  <c r="D71" i="11" s="1"/>
  <c r="C51" i="11"/>
  <c r="C53" i="11" s="1"/>
  <c r="C83" i="9"/>
  <c r="C76" i="9"/>
  <c r="D69" i="9"/>
  <c r="C35" i="9"/>
  <c r="C46" i="9" s="1"/>
  <c r="C34" i="9"/>
  <c r="C44" i="9"/>
  <c r="C36" i="9"/>
  <c r="C45" i="9"/>
  <c r="C22" i="9"/>
  <c r="C21" i="9"/>
  <c r="C29" i="9" s="1"/>
  <c r="C17" i="9"/>
  <c r="C18" i="9" s="1"/>
  <c r="D5" i="9"/>
  <c r="F5" i="4" s="1"/>
  <c r="D69" i="1"/>
  <c r="D82" i="24" l="1"/>
  <c r="D81" i="24"/>
  <c r="D80" i="24"/>
  <c r="D79" i="24"/>
  <c r="D83" i="24" s="1"/>
  <c r="D85" i="24" s="1"/>
  <c r="G16" i="4" s="1"/>
  <c r="H16" i="4" s="1"/>
  <c r="D82" i="23"/>
  <c r="D81" i="23"/>
  <c r="D80" i="23"/>
  <c r="D79" i="23"/>
  <c r="D83" i="23" s="1"/>
  <c r="D85" i="23" s="1"/>
  <c r="G15" i="4" s="1"/>
  <c r="H15" i="4" s="1"/>
  <c r="I15" i="4" s="1"/>
  <c r="D82" i="22"/>
  <c r="D81" i="22"/>
  <c r="D80" i="22"/>
  <c r="D79" i="22"/>
  <c r="D83" i="22" s="1"/>
  <c r="D85" i="22" s="1"/>
  <c r="G14" i="4" s="1"/>
  <c r="H14" i="4" s="1"/>
  <c r="I14" i="4" s="1"/>
  <c r="I17" i="4" s="1"/>
  <c r="C47" i="9"/>
  <c r="D74" i="21"/>
  <c r="D75" i="21" s="1"/>
  <c r="D76" i="21" s="1"/>
  <c r="D74" i="20"/>
  <c r="D75" i="20"/>
  <c r="D76" i="20" s="1"/>
  <c r="D79" i="20" s="1"/>
  <c r="D75" i="18"/>
  <c r="D76" i="18" s="1"/>
  <c r="D82" i="18" s="1"/>
  <c r="D81" i="18"/>
  <c r="D80" i="18"/>
  <c r="D53" i="12"/>
  <c r="D55" i="12" s="1"/>
  <c r="D71" i="12" s="1"/>
  <c r="D74" i="12" s="1"/>
  <c r="D75" i="12" s="1"/>
  <c r="D76" i="12" s="1"/>
  <c r="D82" i="17"/>
  <c r="D79" i="17"/>
  <c r="D80" i="17"/>
  <c r="D46" i="9"/>
  <c r="D40" i="10"/>
  <c r="D41" i="10" s="1"/>
  <c r="C41" i="10"/>
  <c r="C51" i="10"/>
  <c r="C53" i="10" s="1"/>
  <c r="D50" i="10"/>
  <c r="D51" i="10" s="1"/>
  <c r="C53" i="15"/>
  <c r="D53" i="15"/>
  <c r="D55" i="15" s="1"/>
  <c r="D71" i="15" s="1"/>
  <c r="D53" i="14"/>
  <c r="D55" i="14" s="1"/>
  <c r="D71" i="14" s="1"/>
  <c r="C53" i="14"/>
  <c r="D74" i="11"/>
  <c r="D75" i="11" s="1"/>
  <c r="D76" i="11" s="1"/>
  <c r="C37" i="9"/>
  <c r="C40" i="9"/>
  <c r="C41" i="9" s="1"/>
  <c r="C50" i="9"/>
  <c r="C51" i="9" s="1"/>
  <c r="C53" i="9" s="1"/>
  <c r="D23" i="9"/>
  <c r="D21" i="9"/>
  <c r="D25" i="9"/>
  <c r="D12" i="9"/>
  <c r="D13" i="9"/>
  <c r="D27" i="9"/>
  <c r="D14" i="9"/>
  <c r="D35" i="9"/>
  <c r="D15" i="9"/>
  <c r="D16" i="9"/>
  <c r="D22" i="9"/>
  <c r="D26" i="9"/>
  <c r="D32" i="9"/>
  <c r="D36" i="9"/>
  <c r="D44" i="9"/>
  <c r="D17" i="9"/>
  <c r="D33" i="9"/>
  <c r="D45" i="9"/>
  <c r="D11" i="9"/>
  <c r="D24" i="9"/>
  <c r="D28" i="9"/>
  <c r="D34" i="9"/>
  <c r="D40" i="9"/>
  <c r="D41" i="9" s="1"/>
  <c r="D87" i="24" l="1"/>
  <c r="D88" i="24" s="1"/>
  <c r="D86" i="24"/>
  <c r="D87" i="23"/>
  <c r="D88" i="23" s="1"/>
  <c r="D86" i="23"/>
  <c r="D87" i="22"/>
  <c r="D88" i="22" s="1"/>
  <c r="D86" i="22"/>
  <c r="D37" i="9"/>
  <c r="D81" i="21"/>
  <c r="D80" i="21"/>
  <c r="D79" i="21"/>
  <c r="D82" i="21"/>
  <c r="D81" i="20"/>
  <c r="D80" i="20"/>
  <c r="D82" i="20"/>
  <c r="D53" i="10"/>
  <c r="D55" i="10" s="1"/>
  <c r="D71" i="10" s="1"/>
  <c r="D74" i="10" s="1"/>
  <c r="D75" i="10" s="1"/>
  <c r="D76" i="10" s="1"/>
  <c r="D79" i="18"/>
  <c r="D83" i="18"/>
  <c r="D85" i="18" s="1"/>
  <c r="G9" i="4" s="1"/>
  <c r="H9" i="4" s="1"/>
  <c r="D83" i="17"/>
  <c r="D85" i="17" s="1"/>
  <c r="D86" i="17" s="1"/>
  <c r="D74" i="15"/>
  <c r="D75" i="15" s="1"/>
  <c r="D76" i="15" s="1"/>
  <c r="D80" i="15" s="1"/>
  <c r="D74" i="14"/>
  <c r="D75" i="14" s="1"/>
  <c r="D76" i="14" s="1"/>
  <c r="D80" i="12"/>
  <c r="D81" i="12"/>
  <c r="D79" i="12"/>
  <c r="D82" i="12"/>
  <c r="D80" i="11"/>
  <c r="D82" i="11"/>
  <c r="D81" i="11"/>
  <c r="D79" i="11"/>
  <c r="D18" i="9"/>
  <c r="D29" i="9"/>
  <c r="D50" i="9"/>
  <c r="D51" i="9" s="1"/>
  <c r="D47" i="9"/>
  <c r="C83" i="1"/>
  <c r="C76" i="1"/>
  <c r="C35" i="1"/>
  <c r="C46" i="1" s="1"/>
  <c r="C34" i="1"/>
  <c r="C36" i="1"/>
  <c r="C45" i="1"/>
  <c r="C22" i="1"/>
  <c r="C21" i="1"/>
  <c r="C17" i="1"/>
  <c r="C18" i="1" s="1"/>
  <c r="C50" i="1" s="1"/>
  <c r="D5" i="1"/>
  <c r="F6" i="4" s="1"/>
  <c r="D83" i="21" l="1"/>
  <c r="D85" i="21" s="1"/>
  <c r="G7" i="4" s="1"/>
  <c r="H7" i="4" s="1"/>
  <c r="D83" i="20"/>
  <c r="D85" i="20" s="1"/>
  <c r="G13" i="4" s="1"/>
  <c r="H13" i="4" s="1"/>
  <c r="I13" i="4" s="1"/>
  <c r="D87" i="18"/>
  <c r="D88" i="18" s="1"/>
  <c r="D86" i="18"/>
  <c r="G3" i="4"/>
  <c r="H3" i="4" s="1"/>
  <c r="D87" i="17"/>
  <c r="D88" i="17" s="1"/>
  <c r="D79" i="14"/>
  <c r="D81" i="14"/>
  <c r="D83" i="12"/>
  <c r="D85" i="12" s="1"/>
  <c r="G4" i="4" s="1"/>
  <c r="H4" i="4" s="1"/>
  <c r="D83" i="11"/>
  <c r="D85" i="11" s="1"/>
  <c r="D82" i="10"/>
  <c r="D80" i="10"/>
  <c r="D79" i="10"/>
  <c r="D81" i="10"/>
  <c r="D80" i="14"/>
  <c r="D81" i="15"/>
  <c r="D82" i="15"/>
  <c r="D79" i="15"/>
  <c r="D82" i="14"/>
  <c r="D53" i="9"/>
  <c r="D55" i="9" s="1"/>
  <c r="D71" i="9" s="1"/>
  <c r="D74" i="9" s="1"/>
  <c r="D75" i="9" s="1"/>
  <c r="D76" i="9" s="1"/>
  <c r="D45" i="1"/>
  <c r="C29" i="1"/>
  <c r="C37" i="1"/>
  <c r="D36" i="1"/>
  <c r="D11" i="1"/>
  <c r="D26" i="1"/>
  <c r="D46" i="1"/>
  <c r="D12" i="1"/>
  <c r="D34" i="1"/>
  <c r="D15" i="1"/>
  <c r="D16" i="1"/>
  <c r="D22" i="1"/>
  <c r="D13" i="1"/>
  <c r="D24" i="1"/>
  <c r="D28" i="1"/>
  <c r="C51" i="1"/>
  <c r="D50" i="1"/>
  <c r="D51" i="1" s="1"/>
  <c r="C40" i="1"/>
  <c r="C44" i="1"/>
  <c r="D32" i="1"/>
  <c r="D14" i="1"/>
  <c r="D17" i="1"/>
  <c r="D21" i="1"/>
  <c r="D23" i="1"/>
  <c r="D25" i="1"/>
  <c r="D27" i="1"/>
  <c r="D33" i="1"/>
  <c r="D35" i="1"/>
  <c r="I4" i="4" l="1"/>
  <c r="D87" i="21"/>
  <c r="D88" i="21" s="1"/>
  <c r="D86" i="21"/>
  <c r="D87" i="20"/>
  <c r="D88" i="20" s="1"/>
  <c r="I16" i="4"/>
  <c r="G12" i="4"/>
  <c r="H12" i="4" s="1"/>
  <c r="D86" i="20"/>
  <c r="D86" i="11"/>
  <c r="D86" i="12"/>
  <c r="D87" i="12"/>
  <c r="D88" i="12" s="1"/>
  <c r="D87" i="11"/>
  <c r="D88" i="11" s="1"/>
  <c r="D83" i="14"/>
  <c r="D85" i="14" s="1"/>
  <c r="D83" i="10"/>
  <c r="D85" i="10" s="1"/>
  <c r="D86" i="10" s="1"/>
  <c r="D83" i="15"/>
  <c r="D85" i="15" s="1"/>
  <c r="G10" i="4" s="1"/>
  <c r="H10" i="4" s="1"/>
  <c r="D79" i="9"/>
  <c r="D80" i="9"/>
  <c r="D82" i="9"/>
  <c r="D81" i="9"/>
  <c r="D18" i="1"/>
  <c r="C41" i="1"/>
  <c r="D40" i="1"/>
  <c r="D41" i="1" s="1"/>
  <c r="D37" i="1"/>
  <c r="D29" i="1"/>
  <c r="C47" i="1"/>
  <c r="D44" i="1"/>
  <c r="D47" i="1" s="1"/>
  <c r="I10" i="4" l="1"/>
  <c r="I12" i="4"/>
  <c r="I9" i="4"/>
  <c r="G8" i="4"/>
  <c r="H8" i="4" s="1"/>
  <c r="C53" i="1"/>
  <c r="D86" i="14"/>
  <c r="D87" i="14"/>
  <c r="D88" i="14" s="1"/>
  <c r="D86" i="15"/>
  <c r="D87" i="10"/>
  <c r="D88" i="10" s="1"/>
  <c r="G11" i="4"/>
  <c r="H11" i="4" s="1"/>
  <c r="D87" i="15"/>
  <c r="D88" i="15" s="1"/>
  <c r="D83" i="9"/>
  <c r="D85" i="9" s="1"/>
  <c r="D53" i="1"/>
  <c r="D55" i="1" s="1"/>
  <c r="D71" i="1" s="1"/>
  <c r="D74" i="1" s="1"/>
  <c r="D75" i="1" s="1"/>
  <c r="D76" i="1" s="1"/>
  <c r="D79" i="1" s="1"/>
  <c r="I11" i="4" l="1"/>
  <c r="I8" i="4"/>
  <c r="G5" i="4"/>
  <c r="H5" i="4" s="1"/>
  <c r="D86" i="9"/>
  <c r="I5" i="4"/>
  <c r="D87" i="9"/>
  <c r="D88" i="9" s="1"/>
  <c r="D82" i="1"/>
  <c r="D80" i="1"/>
  <c r="D81" i="1"/>
  <c r="D83" i="1" l="1"/>
  <c r="D85" i="1" s="1"/>
  <c r="G6" i="4" s="1"/>
  <c r="H6" i="4" l="1"/>
  <c r="I6" i="4" s="1"/>
  <c r="I7" i="4"/>
  <c r="D86" i="1"/>
  <c r="D87" i="1"/>
  <c r="D88" i="1" s="1"/>
  <c r="J21" i="4" l="1"/>
</calcChain>
</file>

<file path=xl/sharedStrings.xml><?xml version="1.0" encoding="utf-8"?>
<sst xmlns="http://schemas.openxmlformats.org/spreadsheetml/2006/main" count="1276" uniqueCount="224">
  <si>
    <t>Legenda:</t>
  </si>
  <si>
    <t>Posto de trabalho de Arquiteto de Software Java</t>
  </si>
  <si>
    <t>Percentuais/valores com fundo em amarelo podem ser alterados de acordo com as condições da licitante; 
em caso de alteração, seus cálculos devem ser justificados ao lado da célula e devem obedecer ao
mínimo previsto em CCT e/ou Lei.</t>
  </si>
  <si>
    <t xml:space="preserve">I - COMPOSIÇÃO DA REMUNERAÇÃO </t>
  </si>
  <si>
    <t>Valores com fundo em azul estão ajustados para seus valores mínimos. 
Podem sem aumentados pela licitante.</t>
  </si>
  <si>
    <t>Salário Base</t>
  </si>
  <si>
    <t xml:space="preserve">TOTAL DA REMUNERAÇÃO </t>
  </si>
  <si>
    <t xml:space="preserve">II - ENCARGOS SOCIAIS INCIDENTES SOBRE A REMUNERAÇÃO </t>
  </si>
  <si>
    <t>GRUPO A - ENCARGOS</t>
  </si>
  <si>
    <t>A.01 SEGURIDADE SOCIAL</t>
  </si>
  <si>
    <t>-</t>
  </si>
  <si>
    <t>A.02 FGTS</t>
  </si>
  <si>
    <t>A.03 SESI/SESC</t>
  </si>
  <si>
    <t>A.04 SENAI/SENAC</t>
  </si>
  <si>
    <t>A.05 INCRA</t>
  </si>
  <si>
    <t>A.06 SEBRAE</t>
  </si>
  <si>
    <t>A.07 Salário Educação</t>
  </si>
  <si>
    <t>A.08 Riscos Ambientais do Trabalho – RAT x FAP</t>
  </si>
  <si>
    <t>TOTAL - GRUPO A</t>
  </si>
  <si>
    <t>GRUPO B</t>
  </si>
  <si>
    <t>B.01 13º Salário</t>
  </si>
  <si>
    <t>B.02 Férias (sem o abono de 1/3)</t>
  </si>
  <si>
    <t>B.03 Aviso Prévio Trabalhado</t>
  </si>
  <si>
    <t>B.04 Auxílio Doença</t>
  </si>
  <si>
    <t>B.05 Acidente de Trabalho</t>
  </si>
  <si>
    <t>B.06 Faltas Legais</t>
  </si>
  <si>
    <t>B.07 Férias sobre Licença Maternidade</t>
  </si>
  <si>
    <t>B.08 Licença Paternidade</t>
  </si>
  <si>
    <t>TOTAL - GRUPO B</t>
  </si>
  <si>
    <t>GRUPO C</t>
  </si>
  <si>
    <t>C.01 Aviso Prévio Indenizado</t>
  </si>
  <si>
    <t>C.02 Indenização Adicional</t>
  </si>
  <si>
    <t>C.03 Indenização (rescisão sem justa causa – multa de 40% do FGTS)</t>
  </si>
  <si>
    <t>C.04 Abono de Férias - 1/3 constitucional</t>
  </si>
  <si>
    <t>C.05 Abono de Férias - 1/3 constitucional sobre licença maternidade</t>
  </si>
  <si>
    <t xml:space="preserve">TOTAL - GRUPO C </t>
  </si>
  <si>
    <t>GRUPO D</t>
  </si>
  <si>
    <t>D.01 Incidência dos encargos do grupo A sobre o grupo B</t>
  </si>
  <si>
    <t>TOTAL - GRUPO D</t>
  </si>
  <si>
    <t>GRUPO E</t>
  </si>
  <si>
    <t>E.01 Incidência do FGTS sobre o aviso prévio indenizado</t>
  </si>
  <si>
    <t>E.02 Incidência do FGTS sobre o período médio de afastamento superior a 15 dias motivado por acidente do trabalho</t>
  </si>
  <si>
    <t>E.03 Incidência de FGTS sobre férias 1/3 constitucional</t>
  </si>
  <si>
    <t xml:space="preserve">TOTAL - GRUPO E </t>
  </si>
  <si>
    <t>GRUPO F</t>
  </si>
  <si>
    <t xml:space="preserve">F.01 Incidência dos encargos do Grupo A sobre os valores constantes da base de cálculo referente ao salário maternidade </t>
  </si>
  <si>
    <t>TOTAL - GRUPO F</t>
  </si>
  <si>
    <t xml:space="preserve">TOTAL - ENCARGOS SOCIAIS </t>
  </si>
  <si>
    <t xml:space="preserve">VALOR TOTAL DE REMUNERAÇÃO + ENCARGOS SOCIAIS </t>
  </si>
  <si>
    <t>III - INSUMOS</t>
  </si>
  <si>
    <t>Assistência médica e odontológica</t>
  </si>
  <si>
    <t>Seguro de vida invalidez e funeral</t>
  </si>
  <si>
    <t xml:space="preserve">Vale Transporte </t>
  </si>
  <si>
    <t>Auxílio Alimentação</t>
  </si>
  <si>
    <t>https://sindpd.org.br/convencao-coletiva-de-trabalho/</t>
  </si>
  <si>
    <t xml:space="preserve">Conectividade à Internet </t>
  </si>
  <si>
    <t>Equipamento de TI - Macbook</t>
  </si>
  <si>
    <t>Licenciamento de Software - IntelliJ Ultimate</t>
  </si>
  <si>
    <t>Licenciamento de Software - GitHub Copilot Pro</t>
  </si>
  <si>
    <t>Provisão de Despesas - Viagens Técnicas</t>
  </si>
  <si>
    <t>Outros insumos</t>
  </si>
  <si>
    <t xml:space="preserve">TOTAL - INSUMOS </t>
  </si>
  <si>
    <t xml:space="preserve">TOTAL DE REMUNERAÇÃO + ENCARGOS SOCIAIS + INSUMOS </t>
  </si>
  <si>
    <t>V - LDI E TRIBUTAÇÃO</t>
  </si>
  <si>
    <t>Despesas Administrativas/Operacionais</t>
  </si>
  <si>
    <t>Lucro</t>
  </si>
  <si>
    <t>TOTAL - LUCRO E DESPESAS INDIRETAS</t>
  </si>
  <si>
    <t>TRIBUTAÇÃO SOBRE FATURAMENTO</t>
  </si>
  <si>
    <t>ISS</t>
  </si>
  <si>
    <t>COFINS</t>
  </si>
  <si>
    <t>PIS</t>
  </si>
  <si>
    <t>CPRB</t>
  </si>
  <si>
    <t>TOTAL - TRIBUTAÇÃO SOBRE FATURAMENTO</t>
  </si>
  <si>
    <t>VALOR UNITÁRIO MENSAL DO POSTO</t>
  </si>
  <si>
    <t>Fatok-K</t>
  </si>
  <si>
    <t>VALOR UNITÁRIO ANUAL</t>
  </si>
  <si>
    <t>VALOR GLOBAL ANUAL 
(TOTAL DE POSTOS)</t>
  </si>
  <si>
    <t xml:space="preserve">Posto de trabalho de Líder técnico de Desenvolvimento de Software (Java) </t>
  </si>
  <si>
    <t>Conectividade à Internet (apenas para prestação remota)</t>
  </si>
  <si>
    <t>Equipamento de TI - Notebook</t>
  </si>
  <si>
    <t>Licenciamento de Software - Intellij Ultimate</t>
  </si>
  <si>
    <t>Posto de trabalho de Desenvolvedor Sênior Java</t>
  </si>
  <si>
    <t xml:space="preserve"> </t>
  </si>
  <si>
    <t>Posto de trabalho de Desenvolvedor  Pleno Java</t>
  </si>
  <si>
    <t>Posto de trabalho de Desenvolvedor Pleno PHP</t>
  </si>
  <si>
    <t>Posto de trabalho de Engenheiro de Testes e Qualidade 
nível Sênior</t>
  </si>
  <si>
    <t xml:space="preserve">Posto de trabalho de Analista de Testes/Qualidade Pleno </t>
  </si>
  <si>
    <t>Posto de trabalho de Analista de negócio / Requisitos Pleno</t>
  </si>
  <si>
    <t>Posto de trabalho de Analista de BI Sênior</t>
  </si>
  <si>
    <t xml:space="preserve">Posto de trabalho de Analista de UX/UI Pleno </t>
  </si>
  <si>
    <t>Posto de trabalho de Engenheiro de IA Pleno</t>
  </si>
  <si>
    <t>Posto de trabalho de Arquiteto de Dados Sênior</t>
  </si>
  <si>
    <t>Licenciamento de Software - DataGrip</t>
  </si>
  <si>
    <t>Posto de trabalho de Administrador de Dados Sênior</t>
  </si>
  <si>
    <t>Posto de trabalho de Especialista em Cloud Sênior</t>
  </si>
  <si>
    <t>Item</t>
  </si>
  <si>
    <t>Qtd</t>
  </si>
  <si>
    <t>Turno</t>
  </si>
  <si>
    <t>Carga horária</t>
  </si>
  <si>
    <t>Remuneração mensal (R$) </t>
  </si>
  <si>
    <t>Posto de trabalho mensal (Valor unitário em R$) </t>
  </si>
  <si>
    <t>Posto de trabalho anual (Valor unitário em R$)</t>
  </si>
  <si>
    <t>Valor total anual (R$)</t>
  </si>
  <si>
    <t xml:space="preserve">Arquiteto de Software (Java) </t>
  </si>
  <si>
    <t>Diurno</t>
  </si>
  <si>
    <t>8h</t>
  </si>
  <si>
    <t xml:space="preserve">Líder técnico de Desenvolvimento de Software (Java) </t>
  </si>
  <si>
    <t>Desenvolvedor Sênior Java</t>
  </si>
  <si>
    <t>Desenvolvedor Pleno Java</t>
  </si>
  <si>
    <t>Desenvolvedor Pleno PHP</t>
  </si>
  <si>
    <t>Engenheiro de Testes e Qualidade nível Sênior</t>
  </si>
  <si>
    <t>Analista de Testes/Qualidade Pleno</t>
  </si>
  <si>
    <t>Analista de negócio / Requisitos Pleno</t>
  </si>
  <si>
    <t>Analista de BI Sênior</t>
  </si>
  <si>
    <t>Analista de UX/UI Pleno</t>
  </si>
  <si>
    <t>Engenheiro de IA Pleno</t>
  </si>
  <si>
    <t>Arquiteto de Dados Sênior</t>
  </si>
  <si>
    <t>Administrador de Dados Sênior</t>
  </si>
  <si>
    <t>Especialista em Cloud Sênior</t>
  </si>
  <si>
    <t>TOTAL</t>
  </si>
  <si>
    <t>OBS: A medida que a aba com cada posto seja preenchida, os valores desta aba serão automaticamente atualizados. Para fins de esclarecimentos, o valor total anual e o fator K limite desta contratação encontra-se no TR</t>
  </si>
  <si>
    <t>1. MÃO DE OBRA</t>
  </si>
  <si>
    <r>
      <t xml:space="preserve">1.1. </t>
    </r>
    <r>
      <rPr>
        <i/>
        <sz val="12"/>
        <color theme="1"/>
        <rFont val="Calibri"/>
        <family val="2"/>
        <scheme val="minor"/>
      </rPr>
      <t>Vide remuneração para cada perfil profissional e nível de senioridade na respectiva planilha.</t>
    </r>
  </si>
  <si>
    <t>2. ENCARGOS SOCIAIS INCIDENTES SOBRE A REMUNERAÇÃO</t>
  </si>
  <si>
    <t>2.1. CÁLCULOS DO GRUPO A</t>
  </si>
  <si>
    <t>ITEM</t>
  </si>
  <si>
    <t>% - FÓRMULA</t>
  </si>
  <si>
    <t>FUNDAMENTO</t>
  </si>
  <si>
    <t>A.01 – SEGURIDADE SOCIAL</t>
  </si>
  <si>
    <t>*Originalmente: 20%, via Art. 2°, § 3º, da Lei nº 11.457/07. Contudo, vigente a desoneração: CPRB Art. 7ºA - Lei nº 12.546/2011. CPRB de 4,5% será lançado nos tributos sorbre o faturamento.</t>
  </si>
  <si>
    <t>A.02 – FGTS</t>
  </si>
  <si>
    <t>Art. 15, Lei nº 8.036/90 e Art. 7º, III, da CF/88.</t>
  </si>
  <si>
    <t>A.03 – SESI/SESC</t>
  </si>
  <si>
    <t>Art. 30, Lei nº 8.036/90.</t>
  </si>
  <si>
    <t>A.04 – SENAI/SENAC</t>
  </si>
  <si>
    <r>
      <t xml:space="preserve">Art. 1º, </t>
    </r>
    <r>
      <rPr>
        <i/>
        <sz val="12"/>
        <color theme="1"/>
        <rFont val="Calibri"/>
        <family val="2"/>
        <scheme val="minor"/>
      </rPr>
      <t>caput</t>
    </r>
    <r>
      <rPr>
        <sz val="12"/>
        <color theme="1"/>
        <rFont val="Calibri"/>
        <family val="2"/>
        <scheme val="minor"/>
      </rPr>
      <t xml:space="preserve">, Decreto-Lei nº 6.246/44 (SENAI) e art. 4º, </t>
    </r>
    <r>
      <rPr>
        <i/>
        <sz val="12"/>
        <color theme="1"/>
        <rFont val="Calibri"/>
        <family val="2"/>
        <scheme val="minor"/>
      </rPr>
      <t>caput</t>
    </r>
    <r>
      <rPr>
        <sz val="12"/>
        <color theme="1"/>
        <rFont val="Calibri"/>
        <family val="2"/>
        <scheme val="minor"/>
      </rPr>
      <t xml:space="preserve"> do Decreto-Lei nº 8.621/46 (SENAC).</t>
    </r>
  </si>
  <si>
    <t>A.05 – INCRA</t>
  </si>
  <si>
    <t>Art. 1°, I, 2 c/c art. 3°, ambos do Decreto-Lei nº 1.146/70.</t>
  </si>
  <si>
    <t xml:space="preserve">A.06 – SEBRAE </t>
  </si>
  <si>
    <t>Art. 8º, Lei nº 8.029/90.</t>
  </si>
  <si>
    <t xml:space="preserve">A.07 – Salário Educação </t>
  </si>
  <si>
    <t>Art. 3º, Inciso I, Decreto nº 87.043/82.</t>
  </si>
  <si>
    <t>A.08 – Riscos Ambientais do Trabalho – RAT x FAP</t>
  </si>
  <si>
    <t>FAP máximo é 2% (§ 2º do art. 202-A do Decreto nº 3.048/1999) e o RAT para a atividade de desenvolvimento de programas de computador é 1% (código 6201-5/00. Anexo V do Decreto nº 3.048/1999).</t>
  </si>
  <si>
    <r>
      <rPr>
        <b/>
        <sz val="12"/>
        <color theme="1"/>
        <rFont val="Calibri"/>
        <family val="2"/>
        <scheme val="minor"/>
      </rPr>
      <t>Observações</t>
    </r>
    <r>
      <rPr>
        <sz val="12"/>
        <color theme="1"/>
        <rFont val="Calibri"/>
        <family val="2"/>
        <scheme val="minor"/>
      </rPr>
      <t>: 
A licitante deve preencher o item A.08 das planilhas de composição de custos e formação de preços com o valor de seu RATxFAP, a ser comprovado no envio de sua proposta adequada ao lance vencedor, mediante apresentação da GFIP ou outro documento apto a fazê-lo.</t>
    </r>
  </si>
  <si>
    <t>2.2. CÁLCULOS DO GRUPO B</t>
  </si>
  <si>
    <t>B.01 – 13º SALÁRIO</t>
  </si>
  <si>
    <t>8,333% = ((1/12)*100)</t>
  </si>
  <si>
    <t>Art. 7º, VIII, CF/88.</t>
  </si>
  <si>
    <t>B.02 – FÉRIAS</t>
  </si>
  <si>
    <t>B.03 – AVISO PRÉVIO TRABALHADO</t>
  </si>
  <si>
    <t>1,944% = ((100%/30)*7)/12</t>
  </si>
  <si>
    <t>Art. 7º, XXI, CF/88, e Arts. 477, 487 e ss. da CLT.</t>
  </si>
  <si>
    <t>B.04 – AUXÍLIO DOENÇA</t>
  </si>
  <si>
    <t>0,222% = (Benefíicos de auxílio-doença urbano / População economicamente ativa ocupada)/12</t>
  </si>
  <si>
    <t>Art. 59 e ss. da Lei nº 8.213/91.</t>
  </si>
  <si>
    <t>B.05 – ACIDENTE DE TRABALHO</t>
  </si>
  <si>
    <t>0,051% = (((100%/30)*15)/12)*(nº CAT/População INSS CAT)</t>
  </si>
  <si>
    <t>Art. 19 a 23 da Lei nº 8.213/91.</t>
  </si>
  <si>
    <t xml:space="preserve">B.06 – FALTAS LEGAIS </t>
  </si>
  <si>
    <t>0,415% = ((100%/30)*1,4947)/12</t>
  </si>
  <si>
    <t>B.07 – FÉRIAS SOBRE LICENÇA MATERNIDADE</t>
  </si>
  <si>
    <t>0,039% = ((8,333%*1,416%*4/12)*100)</t>
  </si>
  <si>
    <t>Impacto do item férias sobre a licença maternidade.</t>
  </si>
  <si>
    <t>B.08 – LICENÇA PATERNIDADE</t>
  </si>
  <si>
    <t>0,020% = (((100%/30)*5)/12)*1,416%</t>
  </si>
  <si>
    <t>Art. 7º, XIX, CF/88 e 10, §1º, da ADCT.</t>
  </si>
  <si>
    <r>
      <rPr>
        <b/>
        <sz val="12"/>
        <color theme="1"/>
        <rFont val="Calibri"/>
        <family val="2"/>
        <scheme val="minor"/>
      </rPr>
      <t>Observaçoes</t>
    </r>
    <r>
      <rPr>
        <sz val="12"/>
        <color theme="1"/>
        <rFont val="Calibri"/>
        <family val="2"/>
        <scheme val="minor"/>
      </rPr>
      <t xml:space="preserve">: </t>
    </r>
  </si>
  <si>
    <t xml:space="preserve">B.03 - Redução de 7 dias ou de 2h por dia para 100 % dos empregados. Percentual relativo a contrato de 12 (doze) meses. </t>
  </si>
  <si>
    <t xml:space="preserve">B.04 - De acordo com dados do MTPS, foram concedidos 1.462.463 benefícios de auxílio-doença urbano no ano de 2013 em uma população de contribuintes para o INSS de 54.796.761 pessoas (http://www.mtps.gov.br/dados-abertos/dados-da-previdencia/previdencia-social-e-inss/boletim_x0002_estatistico-da-previdencia-social-beps). </t>
  </si>
  <si>
    <t xml:space="preserve">B.05 - Estimativa de 1 licença de 15 dias por ano para 1,22% dos empregados. Esta taxa foi obtida pela proporção de acidentes de trabalho registrados, 717.911, conforme dados do Anuário Estatístico da Previdência Social – AEPS/2013, em relação a 58.981.000 de trabalhadores que fazem jus a emissão da CAT (trabalhadores com carteira assinada, outros tipos de trabalhadores e domésticas), conforme dados da PNAD 2013. </t>
  </si>
  <si>
    <t>B.06 - Estimativa de 1,4947 ausências por ano, de acordo com a IN 2/2008-MPOG.</t>
  </si>
  <si>
    <t>B.07 - Estimativa de 1,416% (taxa de natalidade da população brasileira/IBGE) de empregadas usufruindo 4 meses de licença por ano.</t>
  </si>
  <si>
    <t>B.08 - Estimativa de 1,416% (taxa de natalidade da população brasileira/IBGE) dos empregados usufruindo 5 dias da licença por ano.</t>
  </si>
  <si>
    <t>2.3. CÁLCULOS DO GRUPO C</t>
  </si>
  <si>
    <t>C.01 – AVISO PRÉVIO INDENIZADO</t>
  </si>
  <si>
    <t>0,417% = ((0,05*(1/12))*100)</t>
  </si>
  <si>
    <t>Art. 7º, XXI, CF/88, 477, 487 e ss. CLT.</t>
  </si>
  <si>
    <t>C.02 – INDENIZAÇÃO ADICIONAL</t>
  </si>
  <si>
    <t>0,286% = (1/12*3,4275%)</t>
  </si>
  <si>
    <t>Art. 9º da Lei nº 7.238/84.</t>
  </si>
  <si>
    <t>C.03 – INDENIZAÇÃO 40% FGTS</t>
  </si>
  <si>
    <t>3,200% = (0,40*0,08*100)</t>
  </si>
  <si>
    <t>Art. 18, §1º da Lei 8.036/90.</t>
  </si>
  <si>
    <t>C.04 – ABONO DE FÉRIAS - 1/3 CONSTITUCIONAL</t>
  </si>
  <si>
    <t>2,778% = ((1/3)/12*100)</t>
  </si>
  <si>
    <t>Art. 7º, XVII, CF/88.</t>
  </si>
  <si>
    <t>C.05 – ABONO DE FÉRIAS - 1/3 CONSTITUCIONAL SOBRE LICENÇA MATERNIDADE</t>
  </si>
  <si>
    <t>0,013% = (((1/3)/12)*0,02*(4/12)*100))</t>
  </si>
  <si>
    <t>C.01 - Estimativa de que 5% (cinco por cento) dos empregados serão substituídos durante um ano.</t>
  </si>
  <si>
    <t>C.02 - Estimativa de que 3,4275% dos empregados receberão indenização de acordo com a média nacional de 12 meses (abril 2015 - março 2016) da Taxa de Rotatividade por Nível Geográfico - M.T.E./CAGED.</t>
  </si>
  <si>
    <t>C.03 - Multa de 40% do FGTS em relação aos trabalhadores contratados.</t>
  </si>
  <si>
    <t>2.4. CÁLCULOS DO GRUPO D</t>
  </si>
  <si>
    <t>D.01 – ENCARGOS DO GRUPO A SOBRE OS ENCARGOS DO GRUPO B</t>
  </si>
  <si>
    <t>(% TOTAL GRUPO A) * (% TOTAL GRUPO B) = D.01</t>
  </si>
  <si>
    <t>2.5. CÁLCULOS DO GRUPO E</t>
  </si>
  <si>
    <t>E.01 – INCIDÊNCIA DO FGTS EXCLUSIVAMENTE SOBRE O AVISO PRÉVIO INDENIZADO</t>
  </si>
  <si>
    <t>0,033% = A.02*C.01</t>
  </si>
  <si>
    <t>Súmula nº 305 do TST.</t>
  </si>
  <si>
    <t>E.02 – FGTS SOBRE AFASTAMENTO SUPERIOR A 15 DIAS POR ACIDENTE DE TRABALHO</t>
  </si>
  <si>
    <t>0,004% = A.02*B.05</t>
  </si>
  <si>
    <t>Lei n.º 8.036/90, art. 15, §5º.</t>
  </si>
  <si>
    <t>E.03 – FGTS SOBRE ABONO DE FÉRIAS - 1/3 CONSTITUCIONAL</t>
  </si>
  <si>
    <t>0,222% = A.02*C.04</t>
  </si>
  <si>
    <t>E.02 - Estimativa de que 8% (oito por cento) dos empregados sofrem acidentes durante o ano, com ausência média de 30 dias durante o ano. O percentual do FGTS (8%) será aplicado somente sobre os 15 dias restantes do afastamento, porque os 15 primeiros dias já foram calculados no item B.05.</t>
  </si>
  <si>
    <t>2.6. CÁLCULOS DO GRUPO F</t>
  </si>
  <si>
    <t>F.01 – ENCARGOS DO GRUPO A SOBRE SALÁRIO MATERNIDADE</t>
  </si>
  <si>
    <t>(% TOTAL GRUPO A)*(4/12)*(2/100) = F.01</t>
  </si>
  <si>
    <t>3. INSUMOS</t>
  </si>
  <si>
    <t xml:space="preserve">Os valores foram calculados de acordo com a convenção coletiva de trabalho firmada entre os sindicatos das categorias profissionais e econômicas envolvidas na prestação dos serviços ora licitados. </t>
  </si>
  <si>
    <t>Conectividade à Internet 
(apenas para prestação remota)</t>
  </si>
  <si>
    <t>Apenas para prestação remota. A velocidade a ser contratada foi calculada a partir das seguintes premissas: a) Resolução da Anatel obriga as operadoras a fornecerem ao menos 40% da velocidade contratada como taxa de transmissão instantânea; b) Considerando as atividades típicas de desenvolvedores e designers, a taxa de transmissão mínima desejada é de 35Mbps. Portanto, a velocidade a ser contratada deve ser próxima de 35/40% = 90Mbps por pessoa que utilize a rede. Considerando os planos disponíveis em comercialização, o valor em voga para esta taxa de transmissão em contratos residenciais é de R$150,00.</t>
  </si>
  <si>
    <t>Equipamento de TI</t>
  </si>
  <si>
    <t>Foi considerada a necessidade de fornecimento de equipamento de TI adequado para a execução das atividades, com valor estimado de R$ 7.300,00 por computador. Para o posto de arquiteto de software, foi levado em conta o valor atual de um MacBook Pro, estimado em R$ 24.999,00. Em ambos os casos, os valores foram diluídos proporcionalmente ao longo dos doze meses do ano.</t>
  </si>
  <si>
    <t>Licença IntelliJ Ultimate: preço estimado em aproximadamente R$ 1.014,00 anuais, correspondendo a cerca de R$ 85,00 mensais, sujeito à variação cambial.</t>
  </si>
  <si>
    <t>Licença GitHub Copilot Pro: preço estimado em aproximadamente R$60,00 mensais, sujeito à variação cambial</t>
  </si>
  <si>
    <t>Licença DataGrip: preço estimado em aproximadamente R$55,00 mensais, sujeito à variação cambial</t>
  </si>
  <si>
    <t>Foi considerada uma estimativa de 20 viagens técnicas anuais a São Paulo, com valor referência de R$ 1.000,00 por passagem aérea e uma permanência de 4 dias, com diária de R$ 300,00 e alimentação de R$ 100,00 por dia. A fórmula utilizada foi:
(Passagem + ((Diária + Alimentação) × 4)) × 20. Totalizando R$ 4.333,33 por posto/mês.</t>
  </si>
  <si>
    <t>4. LUCRO E DESPESAS INDIRETAS E TRIBUTAÇÃO SOBRE FATURAMENTO</t>
  </si>
  <si>
    <t>4.1. Lucro e Despesas Indiretas – LDI:</t>
  </si>
  <si>
    <t>4.1.1. Para fins de estimativa, nas rubricas “Custos Indiretos (despesas operacionais e administrativas)” e “Lucro”, foram consideradas, respectivamente, as despesas administrativas e operacionais e a margem de lucro. Os valores para estes itens são exemplificativos e devem ser ajustados na proposta de preço da licitante.</t>
  </si>
  <si>
    <t>4.1.1.1. Obs.: Eventuais custos não previstos expressamente na memória de cálculo devem ser cobertos pelo LDI (Lucro e Despesas Indiretas)</t>
  </si>
  <si>
    <t>4.2. Tributação sobre Faturamento:</t>
  </si>
  <si>
    <t>4.2.1. Os tributos (ISS, COFINS, PIS e CPRB) foram definidos utilizando o regime de tributação de Lucro PRESUMIDO. A licitante deve elaborar sua proposta e, por conseguinte, sua planilha com base no regime de tributação ao qual estará submetida durante a execução do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</si>
</sst>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43" formatCode="_-* #,##0.00_-;\-* #,##0.00_-;_-* &quot;-&quot;??_-;_-@_-"/>
    <numFmt numFmtId="164" formatCode="&quot;R$&quot;#,##0.00;[Red]\-&quot;R$&quot;#,##0.00"/>
    <numFmt numFmtId="165" formatCode="&quot;R$&quot;\ #,##0.00"/>
    <numFmt numFmtId="166" formatCode="0.000%"/>
    <numFmt numFmtId="167" formatCode="_(* #,##0.00_);_(* \(#,##0.00\);_(* &quot;-&quot;??_);_(@_)"/>
    <numFmt numFmtId="168" formatCode="0.0000%"/>
    <numFmt numFmtId="169" formatCode="0.000"/>
    <numFmt numFmtId="170" formatCode="&quot;R$&quot;#,##0.0000;[Red]\-&quot;R$&quot;#,##0.0000"/>
    <numFmt numFmtId="171" formatCode="0.00000000%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theme="2" tint="-0.24994659260841701"/>
      </left>
      <right style="hair">
        <color theme="2" tint="-0.24994659260841701"/>
      </right>
      <top/>
      <bottom style="hair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 tint="-0.24994659260841701"/>
      </top>
      <bottom/>
      <diagonal/>
    </border>
    <border>
      <left style="hair">
        <color theme="2" tint="-0.24994659260841701"/>
      </left>
      <right style="hair">
        <color theme="2" tint="-0.24994659260841701"/>
      </right>
      <top/>
      <bottom/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 tint="-0.24994659260841701"/>
      </top>
      <bottom style="hair">
        <color theme="2" tint="-0.24994659260841701"/>
      </bottom>
      <diagonal/>
    </border>
    <border>
      <left style="hair">
        <color theme="2" tint="-0.24994659260841701"/>
      </left>
      <right/>
      <top style="hair">
        <color theme="2" tint="-0.24994659260841701"/>
      </top>
      <bottom/>
      <diagonal/>
    </border>
    <border>
      <left/>
      <right/>
      <top style="hair">
        <color theme="2" tint="-0.24994659260841701"/>
      </top>
      <bottom/>
      <diagonal/>
    </border>
    <border>
      <left/>
      <right style="hair">
        <color theme="2" tint="-0.24994659260841701"/>
      </right>
      <top style="hair">
        <color theme="2" tint="-0.24994659260841701"/>
      </top>
      <bottom/>
      <diagonal/>
    </border>
    <border>
      <left style="hair">
        <color theme="2" tint="-0.24994659260841701"/>
      </left>
      <right/>
      <top/>
      <bottom/>
      <diagonal/>
    </border>
    <border>
      <left/>
      <right style="hair">
        <color theme="2" tint="-0.24994659260841701"/>
      </right>
      <top/>
      <bottom/>
      <diagonal/>
    </border>
    <border>
      <left style="hair">
        <color theme="2" tint="-0.24994659260841701"/>
      </left>
      <right/>
      <top/>
      <bottom style="hair">
        <color theme="2" tint="-0.24994659260841701"/>
      </bottom>
      <diagonal/>
    </border>
    <border>
      <left/>
      <right/>
      <top/>
      <bottom style="hair">
        <color theme="2" tint="-0.24994659260841701"/>
      </bottom>
      <diagonal/>
    </border>
    <border>
      <left/>
      <right style="hair">
        <color theme="2" tint="-0.24994659260841701"/>
      </right>
      <top/>
      <bottom style="hair">
        <color theme="2" tint="-0.24994659260841701"/>
      </bottom>
      <diagonal/>
    </border>
    <border>
      <left style="hair">
        <color theme="2" tint="-0.24994659260841701"/>
      </left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 style="hair">
        <color theme="2" tint="-0.24994659260841701"/>
      </right>
      <top style="hair">
        <color theme="2" tint="-0.24994659260841701"/>
      </top>
      <bottom style="hair">
        <color theme="2" tint="-0.24994659260841701"/>
      </bottom>
      <diagonal/>
    </border>
    <border>
      <left/>
      <right/>
      <top style="hair">
        <color theme="2" tint="-0.24994659260841701"/>
      </top>
      <bottom style="hair">
        <color theme="2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56">
    <xf numFmtId="0" fontId="0" fillId="0" borderId="0" xfId="0"/>
    <xf numFmtId="165" fontId="5" fillId="2" borderId="1" xfId="2" applyNumberFormat="1" applyFont="1" applyFill="1" applyBorder="1" applyAlignment="1">
      <alignment horizontal="center" vertical="center"/>
    </xf>
    <xf numFmtId="165" fontId="5" fillId="2" borderId="1" xfId="3" applyNumberFormat="1" applyFont="1" applyFill="1" applyBorder="1" applyAlignment="1" applyProtection="1">
      <alignment horizontal="center" vertical="center"/>
    </xf>
    <xf numFmtId="0" fontId="6" fillId="3" borderId="8" xfId="2" applyFont="1" applyFill="1" applyBorder="1" applyAlignment="1">
      <alignment horizontal="left" vertical="center" wrapText="1"/>
    </xf>
    <xf numFmtId="166" fontId="6" fillId="3" borderId="12" xfId="4" applyNumberFormat="1" applyFont="1" applyFill="1" applyBorder="1" applyAlignment="1" applyProtection="1">
      <alignment horizontal="center" vertical="center"/>
    </xf>
    <xf numFmtId="165" fontId="6" fillId="3" borderId="1" xfId="2" applyNumberFormat="1" applyFont="1" applyFill="1" applyBorder="1" applyAlignment="1">
      <alignment horizontal="center" vertical="center"/>
    </xf>
    <xf numFmtId="166" fontId="6" fillId="3" borderId="12" xfId="1" applyNumberFormat="1" applyFont="1" applyFill="1" applyBorder="1" applyAlignment="1" applyProtection="1">
      <alignment horizontal="center" vertical="center"/>
    </xf>
    <xf numFmtId="0" fontId="5" fillId="2" borderId="8" xfId="2" applyFont="1" applyFill="1" applyBorder="1" applyAlignment="1">
      <alignment horizontal="center" vertical="center" wrapText="1"/>
    </xf>
    <xf numFmtId="166" fontId="5" fillId="2" borderId="12" xfId="2" applyNumberFormat="1" applyFont="1" applyFill="1" applyBorder="1" applyAlignment="1">
      <alignment horizontal="center" vertical="center"/>
    </xf>
    <xf numFmtId="166" fontId="6" fillId="3" borderId="12" xfId="5" applyNumberFormat="1" applyFont="1" applyFill="1" applyBorder="1" applyAlignment="1" applyProtection="1">
      <alignment horizontal="center" vertical="center"/>
    </xf>
    <xf numFmtId="166" fontId="5" fillId="2" borderId="12" xfId="4" applyNumberFormat="1" applyFont="1" applyFill="1" applyBorder="1" applyAlignment="1" applyProtection="1">
      <alignment horizontal="center" vertical="center"/>
    </xf>
    <xf numFmtId="166" fontId="8" fillId="3" borderId="12" xfId="4" applyNumberFormat="1" applyFont="1" applyFill="1" applyBorder="1" applyAlignment="1" applyProtection="1">
      <alignment horizontal="center" vertical="center"/>
    </xf>
    <xf numFmtId="166" fontId="6" fillId="3" borderId="12" xfId="2" applyNumberFormat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justify" vertical="center" wrapText="1"/>
    </xf>
    <xf numFmtId="166" fontId="9" fillId="2" borderId="12" xfId="2" applyNumberFormat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vertical="center" wrapText="1"/>
    </xf>
    <xf numFmtId="165" fontId="6" fillId="3" borderId="1" xfId="6" applyNumberFormat="1" applyFont="1" applyFill="1" applyBorder="1" applyAlignment="1" applyProtection="1">
      <alignment horizontal="center" vertical="center"/>
    </xf>
    <xf numFmtId="166" fontId="5" fillId="2" borderId="12" xfId="5" applyNumberFormat="1" applyFont="1" applyFill="1" applyBorder="1" applyAlignment="1" applyProtection="1">
      <alignment horizontal="center" vertical="center"/>
    </xf>
    <xf numFmtId="0" fontId="5" fillId="3" borderId="8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vertical="center" wrapText="1"/>
    </xf>
    <xf numFmtId="0" fontId="5" fillId="3" borderId="11" xfId="2" applyFont="1" applyFill="1" applyBorder="1" applyAlignment="1">
      <alignment vertical="center" wrapText="1"/>
    </xf>
    <xf numFmtId="0" fontId="6" fillId="3" borderId="10" xfId="2" applyFont="1" applyFill="1" applyBorder="1" applyAlignment="1">
      <alignment vertical="center" wrapText="1"/>
    </xf>
    <xf numFmtId="0" fontId="6" fillId="3" borderId="11" xfId="2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0" fillId="3" borderId="0" xfId="0" applyFill="1"/>
    <xf numFmtId="165" fontId="5" fillId="2" borderId="1" xfId="6" applyNumberFormat="1" applyFont="1" applyFill="1" applyBorder="1" applyAlignment="1" applyProtection="1">
      <alignment horizontal="center" vertical="center"/>
    </xf>
    <xf numFmtId="0" fontId="6" fillId="3" borderId="8" xfId="2" applyFont="1" applyFill="1" applyBorder="1" applyAlignment="1">
      <alignment horizontal="left" vertical="center"/>
    </xf>
    <xf numFmtId="165" fontId="10" fillId="3" borderId="1" xfId="4" applyNumberFormat="1" applyFont="1" applyFill="1" applyBorder="1" applyAlignment="1" applyProtection="1">
      <alignment horizontal="center" vertical="center"/>
    </xf>
    <xf numFmtId="2" fontId="6" fillId="3" borderId="8" xfId="2" applyNumberFormat="1" applyFont="1" applyFill="1" applyBorder="1" applyAlignment="1">
      <alignment horizontal="left" vertical="center" wrapText="1"/>
    </xf>
    <xf numFmtId="10" fontId="5" fillId="2" borderId="12" xfId="7" applyNumberFormat="1" applyFont="1" applyFill="1" applyBorder="1" applyAlignment="1" applyProtection="1">
      <alignment horizontal="center" vertical="center"/>
    </xf>
    <xf numFmtId="165" fontId="5" fillId="2" borderId="1" xfId="7" applyNumberFormat="1" applyFont="1" applyFill="1" applyBorder="1" applyAlignment="1" applyProtection="1">
      <alignment horizontal="center" vertical="center"/>
    </xf>
    <xf numFmtId="0" fontId="5" fillId="2" borderId="8" xfId="2" applyFont="1" applyFill="1" applyBorder="1" applyAlignment="1">
      <alignment horizontal="left" vertical="center" wrapText="1"/>
    </xf>
    <xf numFmtId="166" fontId="5" fillId="2" borderId="12" xfId="7" applyNumberFormat="1" applyFont="1" applyFill="1" applyBorder="1" applyAlignment="1" applyProtection="1">
      <alignment horizontal="center" vertical="center"/>
    </xf>
    <xf numFmtId="0" fontId="5" fillId="2" borderId="13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/>
    </xf>
    <xf numFmtId="165" fontId="5" fillId="2" borderId="19" xfId="2" applyNumberFormat="1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3" borderId="8" xfId="2" applyFont="1" applyFill="1" applyBorder="1" applyAlignment="1">
      <alignment horizontal="right" vertical="center" wrapText="1"/>
    </xf>
    <xf numFmtId="0" fontId="6" fillId="3" borderId="9" xfId="2" applyFont="1" applyFill="1" applyBorder="1" applyAlignment="1">
      <alignment horizontal="right" vertical="center" wrapText="1"/>
    </xf>
    <xf numFmtId="166" fontId="6" fillId="6" borderId="12" xfId="4" applyNumberFormat="1" applyFont="1" applyFill="1" applyBorder="1" applyAlignment="1" applyProtection="1">
      <alignment horizontal="center" vertical="center"/>
    </xf>
    <xf numFmtId="9" fontId="0" fillId="0" borderId="0" xfId="1" applyFont="1"/>
    <xf numFmtId="166" fontId="0" fillId="0" borderId="0" xfId="1" applyNumberFormat="1" applyFont="1"/>
    <xf numFmtId="166" fontId="6" fillId="6" borderId="12" xfId="5" applyNumberFormat="1" applyFont="1" applyFill="1" applyBorder="1" applyAlignment="1" applyProtection="1">
      <alignment horizontal="center" vertical="center"/>
    </xf>
    <xf numFmtId="165" fontId="6" fillId="6" borderId="7" xfId="0" applyNumberFormat="1" applyFont="1" applyFill="1" applyBorder="1" applyAlignment="1">
      <alignment horizontal="center" vertical="center"/>
    </xf>
    <xf numFmtId="165" fontId="6" fillId="6" borderId="17" xfId="0" applyNumberFormat="1" applyFont="1" applyFill="1" applyBorder="1" applyAlignment="1">
      <alignment horizontal="center" vertical="center"/>
    </xf>
    <xf numFmtId="166" fontId="6" fillId="6" borderId="12" xfId="2" applyNumberFormat="1" applyFont="1" applyFill="1" applyBorder="1" applyAlignment="1">
      <alignment horizontal="center" vertical="center" wrapText="1"/>
    </xf>
    <xf numFmtId="168" fontId="10" fillId="6" borderId="12" xfId="4" applyNumberFormat="1" applyFont="1" applyFill="1" applyBorder="1" applyAlignment="1" applyProtection="1">
      <alignment horizontal="center" vertical="center"/>
    </xf>
    <xf numFmtId="165" fontId="6" fillId="7" borderId="11" xfId="0" applyNumberFormat="1" applyFont="1" applyFill="1" applyBorder="1" applyAlignment="1">
      <alignment horizontal="center" vertical="center"/>
    </xf>
    <xf numFmtId="169" fontId="15" fillId="0" borderId="0" xfId="1" applyNumberFormat="1" applyFont="1"/>
    <xf numFmtId="0" fontId="6" fillId="3" borderId="9" xfId="0" applyFont="1" applyFill="1" applyBorder="1" applyAlignment="1">
      <alignment vertical="center"/>
    </xf>
    <xf numFmtId="165" fontId="6" fillId="7" borderId="1" xfId="3" applyNumberFormat="1" applyFont="1" applyFill="1" applyBorder="1" applyAlignment="1" applyProtection="1">
      <alignment horizontal="center" vertical="center"/>
      <protection locked="0"/>
    </xf>
    <xf numFmtId="2" fontId="6" fillId="3" borderId="1" xfId="2" applyNumberFormat="1" applyFont="1" applyFill="1" applyBorder="1" applyAlignment="1">
      <alignment horizontal="center" vertical="center"/>
    </xf>
    <xf numFmtId="0" fontId="0" fillId="0" borderId="38" xfId="0" applyBorder="1"/>
    <xf numFmtId="0" fontId="0" fillId="6" borderId="40" xfId="0" applyFill="1" applyBorder="1" applyAlignment="1">
      <alignment wrapText="1"/>
    </xf>
    <xf numFmtId="0" fontId="0" fillId="7" borderId="39" xfId="0" applyFill="1" applyBorder="1" applyAlignment="1">
      <alignment wrapText="1"/>
    </xf>
    <xf numFmtId="166" fontId="6" fillId="6" borderId="12" xfId="1" applyNumberFormat="1" applyFont="1" applyFill="1" applyBorder="1" applyAlignment="1" applyProtection="1">
      <alignment horizontal="center" vertical="center"/>
    </xf>
    <xf numFmtId="0" fontId="12" fillId="8" borderId="12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2" fillId="3" borderId="0" xfId="0" applyFont="1" applyFill="1"/>
    <xf numFmtId="170" fontId="16" fillId="8" borderId="12" xfId="0" applyNumberFormat="1" applyFont="1" applyFill="1" applyBorder="1" applyAlignment="1">
      <alignment horizontal="center" wrapText="1"/>
    </xf>
    <xf numFmtId="165" fontId="17" fillId="3" borderId="0" xfId="0" applyNumberFormat="1" applyFont="1" applyFill="1" applyAlignment="1">
      <alignment horizontal="center" vertical="center"/>
    </xf>
    <xf numFmtId="166" fontId="6" fillId="9" borderId="12" xfId="0" applyNumberFormat="1" applyFont="1" applyFill="1" applyBorder="1" applyAlignment="1">
      <alignment horizontal="center" vertical="center" wrapText="1"/>
    </xf>
    <xf numFmtId="166" fontId="6" fillId="9" borderId="41" xfId="0" applyNumberFormat="1" applyFont="1" applyFill="1" applyBorder="1" applyAlignment="1">
      <alignment horizontal="center" vertical="center" wrapText="1"/>
    </xf>
    <xf numFmtId="0" fontId="17" fillId="3" borderId="0" xfId="0" applyFont="1" applyFill="1"/>
    <xf numFmtId="171" fontId="17" fillId="3" borderId="0" xfId="1" applyNumberFormat="1" applyFont="1" applyFill="1"/>
    <xf numFmtId="168" fontId="17" fillId="3" borderId="0" xfId="0" applyNumberFormat="1" applyFont="1" applyFill="1"/>
    <xf numFmtId="0" fontId="1" fillId="3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0" xfId="0" applyFont="1" applyFill="1"/>
    <xf numFmtId="164" fontId="1" fillId="3" borderId="12" xfId="0" applyNumberFormat="1" applyFont="1" applyFill="1" applyBorder="1" applyAlignment="1">
      <alignment horizontal="center" vertical="center" wrapText="1"/>
    </xf>
    <xf numFmtId="170" fontId="1" fillId="3" borderId="12" xfId="0" applyNumberFormat="1" applyFont="1" applyFill="1" applyBorder="1" applyAlignment="1">
      <alignment horizontal="center" vertical="center" wrapText="1"/>
    </xf>
    <xf numFmtId="165" fontId="1" fillId="3" borderId="0" xfId="1" applyNumberFormat="1" applyFont="1" applyFill="1"/>
    <xf numFmtId="0" fontId="1" fillId="3" borderId="0" xfId="0" applyFont="1" applyFill="1" applyAlignment="1">
      <alignment horizontal="center"/>
    </xf>
    <xf numFmtId="8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/>
    </xf>
    <xf numFmtId="10" fontId="1" fillId="3" borderId="0" xfId="0" applyNumberFormat="1" applyFont="1" applyFill="1"/>
    <xf numFmtId="0" fontId="1" fillId="3" borderId="0" xfId="0" applyFont="1" applyFill="1" applyAlignment="1">
      <alignment horizontal="justify" vertical="center"/>
    </xf>
    <xf numFmtId="8" fontId="1" fillId="3" borderId="0" xfId="0" applyNumberFormat="1" applyFont="1" applyFill="1"/>
    <xf numFmtId="165" fontId="1" fillId="3" borderId="0" xfId="0" applyNumberFormat="1" applyFont="1" applyFill="1"/>
    <xf numFmtId="4" fontId="1" fillId="3" borderId="0" xfId="0" applyNumberFormat="1" applyFont="1" applyFill="1"/>
    <xf numFmtId="0" fontId="1" fillId="0" borderId="26" xfId="0" applyFont="1" applyBorder="1" applyAlignment="1">
      <alignment horizontal="left" vertical="center" wrapText="1"/>
    </xf>
    <xf numFmtId="166" fontId="1" fillId="0" borderId="26" xfId="1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 wrapText="1"/>
    </xf>
    <xf numFmtId="0" fontId="18" fillId="0" borderId="0" xfId="8"/>
    <xf numFmtId="165" fontId="0" fillId="0" borderId="0" xfId="0" applyNumberFormat="1"/>
    <xf numFmtId="0" fontId="14" fillId="0" borderId="26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 wrapText="1"/>
    </xf>
    <xf numFmtId="166" fontId="6" fillId="6" borderId="41" xfId="0" applyNumberFormat="1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right" vertical="center" wrapText="1"/>
    </xf>
    <xf numFmtId="0" fontId="6" fillId="3" borderId="9" xfId="2" applyFont="1" applyFill="1" applyBorder="1" applyAlignment="1">
      <alignment horizontal="right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5" borderId="13" xfId="2" applyFont="1" applyFill="1" applyBorder="1" applyAlignment="1">
      <alignment horizontal="left" vertical="center" wrapText="1"/>
    </xf>
    <xf numFmtId="0" fontId="5" fillId="5" borderId="14" xfId="2" applyFont="1" applyFill="1" applyBorder="1" applyAlignment="1">
      <alignment horizontal="left" vertical="center" wrapText="1"/>
    </xf>
    <xf numFmtId="0" fontId="5" fillId="5" borderId="15" xfId="2" applyFont="1" applyFill="1" applyBorder="1" applyAlignment="1">
      <alignment horizontal="left" vertical="center" wrapText="1"/>
    </xf>
    <xf numFmtId="0" fontId="5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49" fontId="5" fillId="5" borderId="8" xfId="2" applyNumberFormat="1" applyFont="1" applyFill="1" applyBorder="1" applyAlignment="1">
      <alignment horizontal="left" vertical="center"/>
    </xf>
    <xf numFmtId="49" fontId="5" fillId="5" borderId="10" xfId="2" applyNumberFormat="1" applyFont="1" applyFill="1" applyBorder="1" applyAlignment="1">
      <alignment horizontal="left" vertical="center"/>
    </xf>
    <xf numFmtId="49" fontId="5" fillId="5" borderId="11" xfId="2" applyNumberFormat="1" applyFont="1" applyFill="1" applyBorder="1" applyAlignment="1">
      <alignment horizontal="left" vertical="center"/>
    </xf>
    <xf numFmtId="0" fontId="5" fillId="5" borderId="8" xfId="2" applyFont="1" applyFill="1" applyBorder="1" applyAlignment="1">
      <alignment horizontal="left" vertical="center" wrapText="1"/>
    </xf>
    <xf numFmtId="0" fontId="5" fillId="5" borderId="10" xfId="2" applyFont="1" applyFill="1" applyBorder="1" applyAlignment="1">
      <alignment horizontal="left" vertical="center" wrapText="1"/>
    </xf>
    <xf numFmtId="0" fontId="5" fillId="5" borderId="11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5" fillId="5" borderId="11" xfId="2" applyFont="1" applyFill="1" applyBorder="1" applyAlignment="1">
      <alignment horizontal="left" vertical="center"/>
    </xf>
    <xf numFmtId="0" fontId="7" fillId="4" borderId="2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49" fontId="5" fillId="5" borderId="5" xfId="2" applyNumberFormat="1" applyFont="1" applyFill="1" applyBorder="1" applyAlignment="1">
      <alignment horizontal="left" vertical="center"/>
    </xf>
    <xf numFmtId="49" fontId="5" fillId="5" borderId="6" xfId="2" applyNumberFormat="1" applyFont="1" applyFill="1" applyBorder="1" applyAlignment="1">
      <alignment horizontal="left" vertical="center"/>
    </xf>
    <xf numFmtId="49" fontId="5" fillId="5" borderId="7" xfId="2" applyNumberFormat="1" applyFont="1" applyFill="1" applyBorder="1" applyAlignment="1">
      <alignment horizontal="left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4" borderId="21" xfId="2" applyFont="1" applyFill="1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righ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2" fillId="0" borderId="26" xfId="0" applyFont="1" applyBorder="1" applyAlignment="1">
      <alignment vertical="center"/>
    </xf>
    <xf numFmtId="0" fontId="1" fillId="0" borderId="26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</cellXfs>
  <cellStyles count="9">
    <cellStyle name="Hyperlink" xfId="8" xr:uid="{00000000-000B-0000-0000-000008000000}"/>
    <cellStyle name="Normal" xfId="0" builtinId="0"/>
    <cellStyle name="Normal 2 2" xfId="2" xr:uid="{3BFAE196-D15D-4CB9-8F91-89BE45D70A2D}"/>
    <cellStyle name="Porcentagem" xfId="1" builtinId="5"/>
    <cellStyle name="Porcentagem 10 2" xfId="4" xr:uid="{639C8642-F134-452B-8DA6-0330C585D215}"/>
    <cellStyle name="Porcentagem 13" xfId="5" xr:uid="{38D6E946-3E37-47F5-B875-99CE6670E3E3}"/>
    <cellStyle name="Porcentagem 6 2" xfId="7" xr:uid="{1A5817A0-18C2-42DE-BF21-B939C4CA853D}"/>
    <cellStyle name="Vírgula 2 2" xfId="6" xr:uid="{5CFB852E-8D83-4BEE-8DD3-8E72A17A0FC8}"/>
    <cellStyle name="Vírgula 4" xfId="3" xr:uid="{B7A049FC-7CBC-4549-9ED0-3ABF28BC42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dpd.org.br/convencao-coletiva-de-trabalho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sindpd.org.br/convencao-coletiva-de-trabalho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sindpd.org.br/convencao-coletiva-de-trabalho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sindpd.org.br/convencao-coletiva-de-trabalho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sindpd.org.br/convencao-coletiva-de-trabalho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sindpd.org.br/convencao-coletiva-de-trabalho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ndpd.org.br/convencao-coletiva-de-trabalho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indpd.org.br/convencao-coletiva-de-trabalho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indpd.org.br/convencao-coletiva-de-trabalho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indpd.org.br/convencao-coletiva-de-trabalho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sindpd.org.br/convencao-coletiva-de-trabalho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indpd.org.br/convencao-coletiva-de-trabalho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sindpd.org.br/convencao-coletiva-de-trabalho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sindpd.org.br/convencao-coletiva-de-trabalh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898A-13E6-1441-BBDA-1808D5605D10}">
  <dimension ref="A1:G110"/>
  <sheetViews>
    <sheetView tabSelected="1" topLeftCell="B1" zoomScale="109" workbookViewId="0">
      <selection activeCell="B2" sqref="B2:D2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  <col min="7" max="7" width="12.36328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3.5" x14ac:dyDescent="0.35">
      <c r="B2" s="123" t="s">
        <v>1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19499.22</v>
      </c>
    </row>
    <row r="5" spans="1:6" x14ac:dyDescent="0.35">
      <c r="B5" s="98" t="s">
        <v>6</v>
      </c>
      <c r="C5" s="99"/>
      <c r="D5" s="2">
        <f>D4</f>
        <v>19499.22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1559.9376000000002</v>
      </c>
    </row>
    <row r="12" spans="1:6" x14ac:dyDescent="0.35">
      <c r="B12" s="3" t="s">
        <v>12</v>
      </c>
      <c r="C12" s="4">
        <v>1.4999999999999999E-2</v>
      </c>
      <c r="D12" s="5">
        <f>(D5)*C12</f>
        <v>292.48829999999998</v>
      </c>
    </row>
    <row r="13" spans="1:6" ht="15" customHeight="1" x14ac:dyDescent="0.35">
      <c r="B13" s="3" t="s">
        <v>13</v>
      </c>
      <c r="C13" s="4">
        <v>0.01</v>
      </c>
      <c r="D13" s="5">
        <f>(D5)*C13</f>
        <v>194.99220000000003</v>
      </c>
    </row>
    <row r="14" spans="1:6" x14ac:dyDescent="0.35">
      <c r="B14" s="3" t="s">
        <v>14</v>
      </c>
      <c r="C14" s="4">
        <v>2E-3</v>
      </c>
      <c r="D14" s="5">
        <f>(D5)*C14</f>
        <v>38.998440000000002</v>
      </c>
    </row>
    <row r="15" spans="1:6" x14ac:dyDescent="0.35">
      <c r="B15" s="3" t="s">
        <v>15</v>
      </c>
      <c r="C15" s="4">
        <v>6.0000000000000001E-3</v>
      </c>
      <c r="D15" s="5">
        <f>(D5)*C15</f>
        <v>116.99532000000001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487.48050000000006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194.99220000000003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2885.8845600000004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1624.8700026000001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1624.8700026000001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3249.7400052000003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623.97504000000004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541.68833159999997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1165.6633716000001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481.04575740000007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481.04575740000007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43.288268400000007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43.288268400000007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19.3042278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19.3042278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7844.9261904000014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27344.146190400003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x14ac:dyDescent="0.35">
      <c r="B62" s="25" t="s">
        <v>55</v>
      </c>
      <c r="C62" s="26"/>
      <c r="D62" s="48">
        <v>150</v>
      </c>
      <c r="G62" s="92"/>
    </row>
    <row r="63" spans="1:7" x14ac:dyDescent="0.35">
      <c r="B63" s="25" t="s">
        <v>56</v>
      </c>
      <c r="C63" s="26"/>
      <c r="D63" s="48">
        <v>2083.25</v>
      </c>
    </row>
    <row r="64" spans="1:7" x14ac:dyDescent="0.35">
      <c r="B64" s="25" t="s">
        <v>57</v>
      </c>
      <c r="C64" s="26"/>
      <c r="D64" s="48">
        <v>85</v>
      </c>
    </row>
    <row r="65" spans="2:6" x14ac:dyDescent="0.35">
      <c r="B65" s="25" t="s">
        <v>58</v>
      </c>
      <c r="C65" s="26"/>
      <c r="D65" s="48">
        <v>60</v>
      </c>
    </row>
    <row r="66" spans="2:6" x14ac:dyDescent="0.35">
      <c r="B66" s="25" t="s">
        <v>59</v>
      </c>
      <c r="C66" s="26"/>
      <c r="D66" s="48">
        <v>4333.33</v>
      </c>
    </row>
    <row r="67" spans="2:6" x14ac:dyDescent="0.35">
      <c r="B67" s="25" t="s">
        <v>60</v>
      </c>
      <c r="C67" s="53"/>
      <c r="D67" s="48"/>
    </row>
    <row r="68" spans="2:6" x14ac:dyDescent="0.35">
      <c r="B68" s="25"/>
      <c r="C68" s="53"/>
      <c r="D68" s="48"/>
    </row>
    <row r="69" spans="2:6" x14ac:dyDescent="0.35">
      <c r="B69" s="103" t="s">
        <v>61</v>
      </c>
      <c r="C69" s="104"/>
      <c r="D69" s="28">
        <f>SUM(D58:D67)</f>
        <v>8471.58</v>
      </c>
      <c r="F69" s="92"/>
    </row>
    <row r="70" spans="2:6" x14ac:dyDescent="0.35">
      <c r="B70" s="105"/>
      <c r="C70" s="106"/>
      <c r="D70" s="107"/>
    </row>
    <row r="71" spans="2:6" x14ac:dyDescent="0.35">
      <c r="B71" s="98" t="s">
        <v>62</v>
      </c>
      <c r="C71" s="99"/>
      <c r="D71" s="1">
        <f>SUM(D55,D69)</f>
        <v>35815.726190400004</v>
      </c>
    </row>
    <row r="72" spans="2:6" x14ac:dyDescent="0.35">
      <c r="B72" s="108"/>
      <c r="C72" s="109"/>
      <c r="D72" s="110"/>
    </row>
    <row r="73" spans="2:6" x14ac:dyDescent="0.35">
      <c r="B73" s="111" t="s">
        <v>63</v>
      </c>
      <c r="C73" s="112"/>
      <c r="D73" s="113"/>
    </row>
    <row r="74" spans="2:6" x14ac:dyDescent="0.35">
      <c r="B74" s="29" t="s">
        <v>64</v>
      </c>
      <c r="C74" s="50"/>
      <c r="D74" s="30">
        <f>C74*D71</f>
        <v>0</v>
      </c>
    </row>
    <row r="75" spans="2:6" x14ac:dyDescent="0.35">
      <c r="B75" s="31" t="s">
        <v>65</v>
      </c>
      <c r="C75" s="50"/>
      <c r="D75" s="30">
        <f>C75*(D71+D74)</f>
        <v>0</v>
      </c>
    </row>
    <row r="76" spans="2:6" x14ac:dyDescent="0.35">
      <c r="B76" s="7" t="s">
        <v>66</v>
      </c>
      <c r="C76" s="32">
        <f>SUM(C74:C75)</f>
        <v>0</v>
      </c>
      <c r="D76" s="33">
        <f>D75+D74</f>
        <v>0</v>
      </c>
    </row>
    <row r="77" spans="2:6" x14ac:dyDescent="0.35">
      <c r="B77" s="105"/>
      <c r="C77" s="106"/>
      <c r="D77" s="107"/>
    </row>
    <row r="78" spans="2:6" x14ac:dyDescent="0.35">
      <c r="B78" s="114" t="s">
        <v>67</v>
      </c>
      <c r="C78" s="115"/>
      <c r="D78" s="116"/>
    </row>
    <row r="79" spans="2:6" x14ac:dyDescent="0.35">
      <c r="B79" s="3" t="s">
        <v>68</v>
      </c>
      <c r="C79" s="49"/>
      <c r="D79" s="5">
        <f>(D71+D76)/(1-C83)*C79</f>
        <v>0</v>
      </c>
    </row>
    <row r="80" spans="2:6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35815.730000000003</v>
      </c>
      <c r="E85" s="52"/>
    </row>
    <row r="86" spans="1:6" x14ac:dyDescent="0.35">
      <c r="B86" s="41"/>
      <c r="C86" s="42" t="s">
        <v>74</v>
      </c>
      <c r="D86" s="55">
        <f>D85/D4</f>
        <v>1.8367775736670493</v>
      </c>
      <c r="E86" s="52"/>
    </row>
    <row r="87" spans="1:6" x14ac:dyDescent="0.35">
      <c r="B87" s="96" t="s">
        <v>75</v>
      </c>
      <c r="C87" s="97"/>
      <c r="D87" s="5">
        <f>ROUND(D85*12,2)</f>
        <v>429788.76</v>
      </c>
      <c r="E87" s="45"/>
      <c r="F87" s="44"/>
    </row>
    <row r="88" spans="1:6" ht="21.5" thickBot="1" x14ac:dyDescent="0.4">
      <c r="B88" s="36" t="s">
        <v>76</v>
      </c>
      <c r="C88" s="37">
        <v>1</v>
      </c>
      <c r="D88" s="38">
        <f>D87*C88</f>
        <v>429788.76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7:D7"/>
    <mergeCell ref="B2:D2"/>
    <mergeCell ref="B3:D3"/>
    <mergeCell ref="B4:C4"/>
    <mergeCell ref="B5:C5"/>
    <mergeCell ref="B6:D6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</mergeCells>
  <hyperlinks>
    <hyperlink ref="F61" r:id="rId1" xr:uid="{462287C7-1683-4B25-9DA0-5DE21D5228E1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867D-7CD0-4C21-85B1-E7809679FA45}">
  <dimension ref="A1:G110"/>
  <sheetViews>
    <sheetView topLeftCell="A58" workbookViewId="0">
      <selection activeCell="C80" sqref="C80:C81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23" t="s">
        <v>89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6759.33</v>
      </c>
    </row>
    <row r="5" spans="1:6" x14ac:dyDescent="0.35">
      <c r="B5" s="98" t="s">
        <v>6</v>
      </c>
      <c r="C5" s="99"/>
      <c r="D5" s="2">
        <f>D4</f>
        <v>6759.33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540.74639999999999</v>
      </c>
    </row>
    <row r="12" spans="1:6" x14ac:dyDescent="0.35">
      <c r="B12" s="3" t="s">
        <v>12</v>
      </c>
      <c r="C12" s="4">
        <v>1.4999999999999999E-2</v>
      </c>
      <c r="D12" s="5">
        <f>(D5)*C12</f>
        <v>101.38995</v>
      </c>
    </row>
    <row r="13" spans="1:6" ht="15" customHeight="1" x14ac:dyDescent="0.35">
      <c r="B13" s="3" t="s">
        <v>13</v>
      </c>
      <c r="C13" s="4">
        <v>0.01</v>
      </c>
      <c r="D13" s="5">
        <f>(D5)*C13</f>
        <v>67.593299999999999</v>
      </c>
    </row>
    <row r="14" spans="1:6" x14ac:dyDescent="0.35">
      <c r="B14" s="3" t="s">
        <v>14</v>
      </c>
      <c r="C14" s="4">
        <v>2E-3</v>
      </c>
      <c r="D14" s="5">
        <f>(D5)*C14</f>
        <v>13.518660000000001</v>
      </c>
    </row>
    <row r="15" spans="1:6" x14ac:dyDescent="0.35">
      <c r="B15" s="3" t="s">
        <v>15</v>
      </c>
      <c r="C15" s="4">
        <v>6.0000000000000001E-3</v>
      </c>
      <c r="D15" s="5">
        <f>(D5)*C15</f>
        <v>40.555979999999998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168.98325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67.593299999999999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1000.3808399999999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563.25496889999999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563.25496889999999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1126.5099378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216.29856000000001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187.77418739999999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404.07274740000003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166.75267110000001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166.75267110000001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15.005712600000001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15.005712600000001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6.6917366999999999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6.6917366999999999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2719.4136456000001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9478.7436455999996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58</v>
      </c>
      <c r="C65" s="26"/>
      <c r="D65" s="48"/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2518.3333333333335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11997.076978933334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11997.08</v>
      </c>
      <c r="E85" s="52"/>
    </row>
    <row r="86" spans="1:6" x14ac:dyDescent="0.35">
      <c r="B86" s="41"/>
      <c r="C86" s="42" t="s">
        <v>74</v>
      </c>
      <c r="D86" s="55">
        <f>D85/D4</f>
        <v>1.7748918901725468</v>
      </c>
      <c r="E86" s="52"/>
    </row>
    <row r="87" spans="1:6" x14ac:dyDescent="0.35">
      <c r="B87" s="96" t="s">
        <v>75</v>
      </c>
      <c r="C87" s="97"/>
      <c r="D87" s="5">
        <f>ROUND(D85*12,2)</f>
        <v>143964.96</v>
      </c>
      <c r="E87" s="45"/>
      <c r="F87" s="44"/>
    </row>
    <row r="88" spans="1:6" ht="21.5" thickBot="1" x14ac:dyDescent="0.4">
      <c r="B88" s="36" t="s">
        <v>76</v>
      </c>
      <c r="C88" s="37">
        <v>2</v>
      </c>
      <c r="D88" s="38">
        <f>D87*C88</f>
        <v>287929.92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4D22041F-3A76-4BA0-8E8F-64AF8AB71253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F835-BEEF-6149-B312-A0252224B7B3}">
  <dimension ref="A1:G110"/>
  <sheetViews>
    <sheetView topLeftCell="A54" workbookViewId="0">
      <selection activeCell="C80" sqref="C80:C81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23" t="s">
        <v>90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10312.870000000001</v>
      </c>
    </row>
    <row r="5" spans="1:6" x14ac:dyDescent="0.35">
      <c r="B5" s="98" t="s">
        <v>6</v>
      </c>
      <c r="C5" s="99"/>
      <c r="D5" s="2">
        <f>D4</f>
        <v>10312.870000000001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825.02960000000007</v>
      </c>
    </row>
    <row r="12" spans="1:6" x14ac:dyDescent="0.35">
      <c r="B12" s="3" t="s">
        <v>12</v>
      </c>
      <c r="C12" s="4">
        <v>1.4999999999999999E-2</v>
      </c>
      <c r="D12" s="5">
        <f>(D5)*C12</f>
        <v>154.69305</v>
      </c>
    </row>
    <row r="13" spans="1:6" ht="15" customHeight="1" x14ac:dyDescent="0.35">
      <c r="B13" s="3" t="s">
        <v>13</v>
      </c>
      <c r="C13" s="4">
        <v>0.01</v>
      </c>
      <c r="D13" s="5">
        <f>(D5)*C13</f>
        <v>103.12870000000001</v>
      </c>
    </row>
    <row r="14" spans="1:6" x14ac:dyDescent="0.35">
      <c r="B14" s="3" t="s">
        <v>14</v>
      </c>
      <c r="C14" s="4">
        <v>2E-3</v>
      </c>
      <c r="D14" s="5">
        <f>(D5)*C14</f>
        <v>20.62574</v>
      </c>
    </row>
    <row r="15" spans="1:6" x14ac:dyDescent="0.35">
      <c r="B15" s="3" t="s">
        <v>15</v>
      </c>
      <c r="C15" s="4">
        <v>6.0000000000000001E-3</v>
      </c>
      <c r="D15" s="5">
        <f>(D5)*C15</f>
        <v>61.877220000000008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257.82175000000001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103.12870000000001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1526.3047600000002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859.37145710000004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859.37145710000004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1718.7429142000001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330.01184000000001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286.49152860000004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616.50336860000004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254.41850290000002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254.41850290000002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22.894571400000004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22.894571400000004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10.209741300000001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10.209741300000001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4149.0738584000001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14461.943858400002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58</v>
      </c>
      <c r="C65" s="26"/>
      <c r="D65" s="48"/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2518.3333333333335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16980.277191733334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16980.28</v>
      </c>
      <c r="E85" s="52"/>
    </row>
    <row r="86" spans="1:6" x14ac:dyDescent="0.35">
      <c r="B86" s="41"/>
      <c r="C86" s="42" t="s">
        <v>74</v>
      </c>
      <c r="D86" s="55">
        <f>D85/D4</f>
        <v>1.6465135311508821</v>
      </c>
      <c r="E86" s="52"/>
    </row>
    <row r="87" spans="1:6" x14ac:dyDescent="0.35">
      <c r="B87" s="96" t="s">
        <v>75</v>
      </c>
      <c r="C87" s="97"/>
      <c r="D87" s="5">
        <f>ROUND(D85*12,2)</f>
        <v>203763.36</v>
      </c>
      <c r="E87" s="45"/>
      <c r="F87" s="44"/>
    </row>
    <row r="88" spans="1:6" ht="21.5" thickBot="1" x14ac:dyDescent="0.4">
      <c r="B88" s="36" t="s">
        <v>76</v>
      </c>
      <c r="C88" s="37">
        <v>1</v>
      </c>
      <c r="D88" s="38">
        <f>D87*C88</f>
        <v>203763.36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7:D7"/>
    <mergeCell ref="B2:D2"/>
    <mergeCell ref="B3:D3"/>
    <mergeCell ref="B4:C4"/>
    <mergeCell ref="B5:C5"/>
    <mergeCell ref="B6:D6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</mergeCells>
  <hyperlinks>
    <hyperlink ref="F61" r:id="rId1" xr:uid="{028CA6E2-86CD-4F68-993B-27E05733D47A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61E9-A72A-45E7-9335-9F6516D02E67}">
  <dimension ref="A1:G110"/>
  <sheetViews>
    <sheetView workbookViewId="0">
      <selection activeCell="B6" sqref="B6:D6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x14ac:dyDescent="0.35">
      <c r="A1" s="44"/>
      <c r="C1" s="44"/>
      <c r="F1" s="56" t="s">
        <v>0</v>
      </c>
    </row>
    <row r="2" spans="1:6" ht="43.5" x14ac:dyDescent="0.35">
      <c r="B2" s="123" t="s">
        <v>91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18364.439999999999</v>
      </c>
    </row>
    <row r="5" spans="1:6" x14ac:dyDescent="0.35">
      <c r="B5" s="98" t="s">
        <v>6</v>
      </c>
      <c r="C5" s="99"/>
      <c r="D5" s="2">
        <f>D4</f>
        <v>18364.439999999999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1469.1551999999999</v>
      </c>
    </row>
    <row r="12" spans="1:6" x14ac:dyDescent="0.35">
      <c r="B12" s="3" t="s">
        <v>12</v>
      </c>
      <c r="C12" s="4">
        <v>1.4999999999999999E-2</v>
      </c>
      <c r="D12" s="5">
        <f>(D5)*C12</f>
        <v>275.46659999999997</v>
      </c>
    </row>
    <row r="13" spans="1:6" ht="15" customHeight="1" x14ac:dyDescent="0.35">
      <c r="B13" s="3" t="s">
        <v>13</v>
      </c>
      <c r="C13" s="4">
        <v>0.01</v>
      </c>
      <c r="D13" s="5">
        <f>(D5)*C13</f>
        <v>183.64439999999999</v>
      </c>
    </row>
    <row r="14" spans="1:6" x14ac:dyDescent="0.35">
      <c r="B14" s="3" t="s">
        <v>14</v>
      </c>
      <c r="C14" s="4">
        <v>2E-3</v>
      </c>
      <c r="D14" s="5">
        <f>(D5)*C14</f>
        <v>36.728879999999997</v>
      </c>
    </row>
    <row r="15" spans="1:6" x14ac:dyDescent="0.35">
      <c r="B15" s="3" t="s">
        <v>15</v>
      </c>
      <c r="C15" s="4">
        <v>6.0000000000000001E-3</v>
      </c>
      <c r="D15" s="5">
        <f>(D5)*C15</f>
        <v>110.18664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459.11099999999999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183.64439999999999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2717.9371199999996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1530.3087851999999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1530.3087851999999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3060.6175703999997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587.66207999999995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510.16414319999996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1097.8262232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453.05073479999999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453.05073479999999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40.769056800000001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40.769056800000001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18.1807956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18.1807956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7388.3815007999992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25752.821500799997</v>
      </c>
      <c r="E55" s="45"/>
    </row>
    <row r="56" spans="1:7" x14ac:dyDescent="0.35">
      <c r="B56" s="15"/>
      <c r="C56" s="21"/>
      <c r="D56" s="22"/>
      <c r="E56" s="45"/>
    </row>
    <row r="57" spans="1:7" x14ac:dyDescent="0.35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92</v>
      </c>
      <c r="C65" s="26"/>
      <c r="D65" s="48">
        <v>55</v>
      </c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2573.3333333333335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28326.154834133329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28326.15</v>
      </c>
      <c r="E85" s="52"/>
    </row>
    <row r="86" spans="1:6" x14ac:dyDescent="0.35">
      <c r="B86" s="41"/>
      <c r="C86" s="42" t="s">
        <v>74</v>
      </c>
      <c r="D86" s="55">
        <f>D85/D4</f>
        <v>1.5424456177264323</v>
      </c>
      <c r="E86" s="52"/>
    </row>
    <row r="87" spans="1:6" x14ac:dyDescent="0.35">
      <c r="B87" s="96" t="s">
        <v>75</v>
      </c>
      <c r="C87" s="97"/>
      <c r="D87" s="5">
        <f>ROUND(D85*12,2)</f>
        <v>339913.8</v>
      </c>
      <c r="E87" s="45"/>
      <c r="F87" s="44"/>
    </row>
    <row r="88" spans="1:6" ht="21" x14ac:dyDescent="0.35">
      <c r="B88" s="36" t="s">
        <v>76</v>
      </c>
      <c r="C88" s="37">
        <v>1</v>
      </c>
      <c r="D88" s="38">
        <f>D87*C88</f>
        <v>339913.8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FC29532B-DC86-4A6D-9B83-AFE7DEFF640A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FBB5-A3E9-4C9A-B7F6-01DD7A812923}">
  <dimension ref="A1:G110"/>
  <sheetViews>
    <sheetView workbookViewId="0">
      <selection activeCell="D5" sqref="D5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x14ac:dyDescent="0.35">
      <c r="A1" s="44"/>
      <c r="C1" s="44"/>
      <c r="F1" s="56" t="s">
        <v>0</v>
      </c>
    </row>
    <row r="2" spans="1:6" ht="43.5" x14ac:dyDescent="0.35">
      <c r="B2" s="123" t="s">
        <v>93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10995.04</v>
      </c>
    </row>
    <row r="5" spans="1:6" x14ac:dyDescent="0.35">
      <c r="B5" s="98" t="s">
        <v>6</v>
      </c>
      <c r="C5" s="99"/>
      <c r="D5" s="2">
        <f>D4</f>
        <v>10995.04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879.60320000000013</v>
      </c>
    </row>
    <row r="12" spans="1:6" x14ac:dyDescent="0.35">
      <c r="B12" s="3" t="s">
        <v>12</v>
      </c>
      <c r="C12" s="4">
        <v>1.4999999999999999E-2</v>
      </c>
      <c r="D12" s="5">
        <f>(D5)*C12</f>
        <v>164.9256</v>
      </c>
    </row>
    <row r="13" spans="1:6" ht="15" customHeight="1" x14ac:dyDescent="0.35">
      <c r="B13" s="3" t="s">
        <v>13</v>
      </c>
      <c r="C13" s="4">
        <v>0.01</v>
      </c>
      <c r="D13" s="5">
        <f>(D5)*C13</f>
        <v>109.95040000000002</v>
      </c>
    </row>
    <row r="14" spans="1:6" x14ac:dyDescent="0.35">
      <c r="B14" s="3" t="s">
        <v>14</v>
      </c>
      <c r="C14" s="4">
        <v>2E-3</v>
      </c>
      <c r="D14" s="5">
        <f>(D5)*C14</f>
        <v>21.990080000000003</v>
      </c>
    </row>
    <row r="15" spans="1:6" x14ac:dyDescent="0.35">
      <c r="B15" s="3" t="s">
        <v>15</v>
      </c>
      <c r="C15" s="4">
        <v>6.0000000000000001E-3</v>
      </c>
      <c r="D15" s="5">
        <f>(D5)*C15</f>
        <v>65.970240000000004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274.87600000000003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109.95040000000002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1627.2659200000001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916.21668320000003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916.21668320000003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1832.4333664000001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351.84128000000004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305.44221120000003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657.28349120000007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271.24763680000001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271.24763680000001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24.408988800000003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24.408988800000003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10.885089600000001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10.885089600000001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4423.5244928000002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15418.5644928</v>
      </c>
      <c r="E55" s="45"/>
    </row>
    <row r="56" spans="1:7" x14ac:dyDescent="0.35">
      <c r="B56" s="15"/>
      <c r="C56" s="21"/>
      <c r="D56" s="22"/>
      <c r="E56" s="45"/>
    </row>
    <row r="57" spans="1:7" x14ac:dyDescent="0.35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92</v>
      </c>
      <c r="C65" s="26"/>
      <c r="D65" s="48">
        <v>55</v>
      </c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2573.3333333333335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17991.897826133332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17991.900000000001</v>
      </c>
      <c r="E85" s="52"/>
    </row>
    <row r="86" spans="1:6" x14ac:dyDescent="0.35">
      <c r="B86" s="41"/>
      <c r="C86" s="42" t="s">
        <v>74</v>
      </c>
      <c r="D86" s="55">
        <f>D85/D4</f>
        <v>1.6363651246380186</v>
      </c>
      <c r="E86" s="52"/>
    </row>
    <row r="87" spans="1:6" x14ac:dyDescent="0.35">
      <c r="B87" s="96" t="s">
        <v>75</v>
      </c>
      <c r="C87" s="97"/>
      <c r="D87" s="5">
        <f>ROUND(D85*12,2)</f>
        <v>215902.8</v>
      </c>
      <c r="E87" s="45"/>
      <c r="F87" s="44"/>
    </row>
    <row r="88" spans="1:6" ht="21" x14ac:dyDescent="0.35">
      <c r="B88" s="36" t="s">
        <v>76</v>
      </c>
      <c r="C88" s="37">
        <v>1</v>
      </c>
      <c r="D88" s="38">
        <f>D87*C88</f>
        <v>215902.8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D20B0585-E643-48CA-BD41-66A0CC220608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5F74-3A6F-4A32-8CDC-A6D208DC2D5C}">
  <dimension ref="A1:G110"/>
  <sheetViews>
    <sheetView topLeftCell="A79" workbookViewId="0">
      <selection activeCell="C80" sqref="C80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x14ac:dyDescent="0.35">
      <c r="A1" s="44"/>
      <c r="C1" s="44"/>
      <c r="F1" s="56" t="s">
        <v>0</v>
      </c>
    </row>
    <row r="2" spans="1:6" ht="43.5" x14ac:dyDescent="0.35">
      <c r="B2" s="123" t="s">
        <v>94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15608.88</v>
      </c>
    </row>
    <row r="5" spans="1:6" x14ac:dyDescent="0.35">
      <c r="B5" s="98" t="s">
        <v>6</v>
      </c>
      <c r="C5" s="99"/>
      <c r="D5" s="2">
        <f>D4</f>
        <v>15608.88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1248.7103999999999</v>
      </c>
    </row>
    <row r="12" spans="1:6" x14ac:dyDescent="0.35">
      <c r="B12" s="3" t="s">
        <v>12</v>
      </c>
      <c r="C12" s="4">
        <v>1.4999999999999999E-2</v>
      </c>
      <c r="D12" s="5">
        <f>(D5)*C12</f>
        <v>234.13319999999999</v>
      </c>
    </row>
    <row r="13" spans="1:6" ht="15" customHeight="1" x14ac:dyDescent="0.35">
      <c r="B13" s="3" t="s">
        <v>13</v>
      </c>
      <c r="C13" s="4">
        <v>0.01</v>
      </c>
      <c r="D13" s="5">
        <f>(D5)*C13</f>
        <v>156.08879999999999</v>
      </c>
    </row>
    <row r="14" spans="1:6" x14ac:dyDescent="0.35">
      <c r="B14" s="3" t="s">
        <v>14</v>
      </c>
      <c r="C14" s="4">
        <v>2E-3</v>
      </c>
      <c r="D14" s="5">
        <f>(D5)*C14</f>
        <v>31.217759999999998</v>
      </c>
    </row>
    <row r="15" spans="1:6" x14ac:dyDescent="0.35">
      <c r="B15" s="3" t="s">
        <v>15</v>
      </c>
      <c r="C15" s="4">
        <v>6.0000000000000001E-3</v>
      </c>
      <c r="D15" s="5">
        <f>(D5)*C15</f>
        <v>93.653279999999995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390.22199999999998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156.08879999999999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2310.1142399999999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1300.6879704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1300.6879704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2601.3759408000001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499.48415999999997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433.61468639999998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933.09884639999996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385.07106959999999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385.07106959999999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34.651713600000001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34.651713600000001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15.452791199999998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15.452791199999998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6279.7646015999999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21888.644601599997</v>
      </c>
      <c r="E55" s="45"/>
    </row>
    <row r="56" spans="1:7" x14ac:dyDescent="0.35">
      <c r="B56" s="15"/>
      <c r="C56" s="21"/>
      <c r="D56" s="22"/>
      <c r="E56" s="45"/>
    </row>
    <row r="57" spans="1:7" x14ac:dyDescent="0.35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58</v>
      </c>
      <c r="C65" s="26"/>
      <c r="D65" s="48"/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2518.3333333333335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24406.977934933329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24406.98</v>
      </c>
      <c r="E85" s="52"/>
    </row>
    <row r="86" spans="1:6" x14ac:dyDescent="0.35">
      <c r="B86" s="41"/>
      <c r="C86" s="42" t="s">
        <v>74</v>
      </c>
      <c r="D86" s="55">
        <f>D85/D4</f>
        <v>1.5636599166628227</v>
      </c>
      <c r="E86" s="52"/>
    </row>
    <row r="87" spans="1:6" x14ac:dyDescent="0.35">
      <c r="B87" s="96" t="s">
        <v>75</v>
      </c>
      <c r="C87" s="97"/>
      <c r="D87" s="5">
        <f>ROUND(D85*12,2)</f>
        <v>292883.76</v>
      </c>
      <c r="E87" s="45"/>
      <c r="F87" s="44"/>
    </row>
    <row r="88" spans="1:6" ht="21" x14ac:dyDescent="0.35">
      <c r="B88" s="36" t="s">
        <v>76</v>
      </c>
      <c r="C88" s="37">
        <v>1</v>
      </c>
      <c r="D88" s="38">
        <f>D87*C88</f>
        <v>292883.76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0268783E-2357-4423-934B-88031E6D34B1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4D84-4AE7-47C8-9905-45E3C7595B17}">
  <dimension ref="A1:M29"/>
  <sheetViews>
    <sheetView zoomScale="109" zoomScaleNormal="100" workbookViewId="0">
      <selection activeCell="G19" sqref="G19"/>
    </sheetView>
  </sheetViews>
  <sheetFormatPr defaultColWidth="8.90625" defaultRowHeight="15.5" x14ac:dyDescent="0.35"/>
  <cols>
    <col min="1" max="1" width="5.36328125" style="62" customWidth="1"/>
    <col min="2" max="2" width="39.6328125" style="62" bestFit="1" customWidth="1"/>
    <col min="3" max="3" width="7.08984375" style="62" customWidth="1"/>
    <col min="4" max="4" width="10.453125" style="62" customWidth="1"/>
    <col min="5" max="5" width="7.08984375" style="62" bestFit="1" customWidth="1"/>
    <col min="6" max="6" width="16.54296875" style="62" customWidth="1"/>
    <col min="7" max="7" width="19.90625" style="62" bestFit="1" customWidth="1"/>
    <col min="8" max="8" width="21.36328125" style="62" customWidth="1"/>
    <col min="9" max="9" width="21" style="62" customWidth="1"/>
    <col min="10" max="10" width="13.08984375" style="62" bestFit="1" customWidth="1"/>
    <col min="11" max="13" width="15.90625" style="62" bestFit="1" customWidth="1"/>
    <col min="14" max="16384" width="8.90625" style="62"/>
  </cols>
  <sheetData>
    <row r="1" spans="1:13" x14ac:dyDescent="0.3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46.5" x14ac:dyDescent="0.35">
      <c r="A2" s="72"/>
      <c r="B2" s="60" t="s">
        <v>95</v>
      </c>
      <c r="C2" s="61" t="s">
        <v>96</v>
      </c>
      <c r="D2" s="61" t="s">
        <v>97</v>
      </c>
      <c r="E2" s="61" t="s">
        <v>98</v>
      </c>
      <c r="F2" s="61" t="s">
        <v>99</v>
      </c>
      <c r="G2" s="61" t="s">
        <v>100</v>
      </c>
      <c r="H2" s="61" t="s">
        <v>101</v>
      </c>
      <c r="I2" s="61" t="s">
        <v>102</v>
      </c>
      <c r="J2" s="72"/>
      <c r="K2" s="72"/>
      <c r="L2" s="72"/>
      <c r="M2" s="72"/>
    </row>
    <row r="3" spans="1:13" x14ac:dyDescent="0.35">
      <c r="A3" s="72"/>
      <c r="B3" s="70" t="s">
        <v>103</v>
      </c>
      <c r="C3" s="70">
        <f>'Arquiteto de Software Java'!C88</f>
        <v>1</v>
      </c>
      <c r="D3" s="70" t="s">
        <v>104</v>
      </c>
      <c r="E3" s="70" t="s">
        <v>105</v>
      </c>
      <c r="F3" s="73">
        <f>'Arquiteto de Software Java'!D5</f>
        <v>19499.22</v>
      </c>
      <c r="G3" s="73">
        <f>'Arquiteto de Software Java'!D85</f>
        <v>35815.730000000003</v>
      </c>
      <c r="H3" s="73">
        <f t="shared" ref="H3:H10" si="0">G3*12</f>
        <v>429788.76</v>
      </c>
      <c r="I3" s="74">
        <f>H3*C3</f>
        <v>429788.76</v>
      </c>
      <c r="J3" s="72"/>
      <c r="K3" s="72"/>
      <c r="L3" s="75"/>
      <c r="M3" s="75"/>
    </row>
    <row r="4" spans="1:13" ht="31" x14ac:dyDescent="0.35">
      <c r="A4" s="72"/>
      <c r="B4" s="70" t="s">
        <v>106</v>
      </c>
      <c r="C4" s="70">
        <f>'Líder Técnico de Desev. De Soft'!C88</f>
        <v>1</v>
      </c>
      <c r="D4" s="70" t="s">
        <v>104</v>
      </c>
      <c r="E4" s="70" t="s">
        <v>105</v>
      </c>
      <c r="F4" s="73">
        <f>'Líder Técnico de Desev. De Soft'!D5</f>
        <v>16038.6</v>
      </c>
      <c r="G4" s="73">
        <f>'Líder Técnico de Desev. De Soft'!D85</f>
        <v>25154.58</v>
      </c>
      <c r="H4" s="73">
        <f t="shared" si="0"/>
        <v>301854.96000000002</v>
      </c>
      <c r="I4" s="74">
        <f>H4*C4</f>
        <v>301854.96000000002</v>
      </c>
      <c r="J4" s="72"/>
      <c r="K4" s="72"/>
      <c r="L4" s="75"/>
      <c r="M4" s="75"/>
    </row>
    <row r="5" spans="1:13" x14ac:dyDescent="0.35">
      <c r="A5" s="72"/>
      <c r="B5" s="70" t="s">
        <v>107</v>
      </c>
      <c r="C5" s="70">
        <f>'Desenvolvedor Sênior Java'!C88</f>
        <v>10</v>
      </c>
      <c r="D5" s="70" t="s">
        <v>104</v>
      </c>
      <c r="E5" s="70" t="s">
        <v>105</v>
      </c>
      <c r="F5" s="73">
        <f>'Desenvolvedor Sênior Java'!D5</f>
        <v>13560.89</v>
      </c>
      <c r="G5" s="73">
        <f>'Desenvolvedor Sênior Java'!D85</f>
        <v>21680.04</v>
      </c>
      <c r="H5" s="73">
        <f t="shared" si="0"/>
        <v>260160.48</v>
      </c>
      <c r="I5" s="74">
        <f>H5*C5</f>
        <v>2601604.8000000003</v>
      </c>
      <c r="J5" s="72"/>
      <c r="K5" s="72"/>
      <c r="L5" s="72"/>
      <c r="M5" s="72"/>
    </row>
    <row r="6" spans="1:13" x14ac:dyDescent="0.35">
      <c r="A6" s="72"/>
      <c r="B6" s="70" t="s">
        <v>108</v>
      </c>
      <c r="C6" s="70">
        <f>'Desenvolvedor Pleno Java'!C88</f>
        <v>4</v>
      </c>
      <c r="D6" s="70" t="s">
        <v>104</v>
      </c>
      <c r="E6" s="70" t="s">
        <v>105</v>
      </c>
      <c r="F6" s="73">
        <f>'Desenvolvedor Pleno Java'!D5</f>
        <v>9913.19</v>
      </c>
      <c r="G6" s="73">
        <f>'Desenvolvedor Pleno Java'!D85</f>
        <v>16564.8</v>
      </c>
      <c r="H6" s="73">
        <f t="shared" si="0"/>
        <v>198777.59999999998</v>
      </c>
      <c r="I6" s="74">
        <f t="shared" ref="I6" si="1">H6*C6</f>
        <v>795110.39999999991</v>
      </c>
      <c r="J6" s="72"/>
      <c r="K6" s="72"/>
      <c r="L6" s="72"/>
      <c r="M6" s="72"/>
    </row>
    <row r="7" spans="1:13" x14ac:dyDescent="0.35">
      <c r="A7" s="72"/>
      <c r="B7" s="70" t="s">
        <v>109</v>
      </c>
      <c r="C7" s="70">
        <f>'Desenvolvedor Pleno PHP'!C88</f>
        <v>1</v>
      </c>
      <c r="D7" s="70" t="s">
        <v>104</v>
      </c>
      <c r="E7" s="70" t="s">
        <v>105</v>
      </c>
      <c r="F7" s="73">
        <f>'Desenvolvedor Pleno PHP'!D5</f>
        <v>9913.19</v>
      </c>
      <c r="G7" s="73">
        <f>'Desenvolvedor Pleno PHP'!D85</f>
        <v>16564.8</v>
      </c>
      <c r="H7" s="73">
        <f t="shared" si="0"/>
        <v>198777.59999999998</v>
      </c>
      <c r="I7" s="74">
        <f t="shared" ref="I7:I16" si="2">H7*C7</f>
        <v>198777.59999999998</v>
      </c>
      <c r="J7" s="72"/>
      <c r="K7" s="72"/>
      <c r="L7" s="72"/>
      <c r="M7" s="72"/>
    </row>
    <row r="8" spans="1:13" ht="31" x14ac:dyDescent="0.35">
      <c r="A8" s="72"/>
      <c r="B8" s="70" t="s">
        <v>110</v>
      </c>
      <c r="C8" s="70">
        <f>'Eng Testes e Qualidade Sênior'!C88</f>
        <v>1</v>
      </c>
      <c r="D8" s="70" t="s">
        <v>104</v>
      </c>
      <c r="E8" s="70" t="s">
        <v>105</v>
      </c>
      <c r="F8" s="73">
        <f>'Eng Testes e Qualidade Sênior'!D5</f>
        <v>12861.5</v>
      </c>
      <c r="G8" s="73">
        <f>'Eng Testes e Qualidade Sênior'!D85</f>
        <v>20554.27</v>
      </c>
      <c r="H8" s="73">
        <f t="shared" si="0"/>
        <v>246651.24</v>
      </c>
      <c r="I8" s="74">
        <f>H8*C8</f>
        <v>246651.24</v>
      </c>
      <c r="J8" s="72"/>
      <c r="K8" s="72"/>
      <c r="L8" s="72"/>
      <c r="M8" s="72"/>
    </row>
    <row r="9" spans="1:13" x14ac:dyDescent="0.35">
      <c r="A9" s="72"/>
      <c r="B9" s="71" t="s">
        <v>111</v>
      </c>
      <c r="C9" s="70">
        <f>'Analista de Testes Qualidade Pl'!C88</f>
        <v>3</v>
      </c>
      <c r="D9" s="70" t="s">
        <v>104</v>
      </c>
      <c r="E9" s="70" t="s">
        <v>105</v>
      </c>
      <c r="F9" s="73">
        <f>'Analista de Testes Qualidade Pl'!D5</f>
        <v>6602.48</v>
      </c>
      <c r="G9" s="73">
        <f>'Analista de Testes Qualidade Pl'!D85</f>
        <v>11777.12</v>
      </c>
      <c r="H9" s="73">
        <f t="shared" si="0"/>
        <v>141325.44</v>
      </c>
      <c r="I9" s="74">
        <f>H9*C9</f>
        <v>423976.32</v>
      </c>
      <c r="J9" s="72"/>
      <c r="K9" s="72"/>
      <c r="L9" s="72"/>
      <c r="M9" s="72"/>
    </row>
    <row r="10" spans="1:13" x14ac:dyDescent="0.35">
      <c r="A10" s="72"/>
      <c r="B10" s="70" t="s">
        <v>112</v>
      </c>
      <c r="C10" s="70">
        <f>'Analista Negócio_Requi. Pleno'!C88</f>
        <v>2</v>
      </c>
      <c r="D10" s="70" t="s">
        <v>104</v>
      </c>
      <c r="E10" s="70" t="s">
        <v>105</v>
      </c>
      <c r="F10" s="73">
        <f>'Analista Negócio_Requi. Pleno'!D5</f>
        <v>8209.41</v>
      </c>
      <c r="G10" s="73">
        <f>'Analista Negócio_Requi. Pleno'!D85</f>
        <v>13934.17</v>
      </c>
      <c r="H10" s="73">
        <f t="shared" si="0"/>
        <v>167210.04</v>
      </c>
      <c r="I10" s="74">
        <f>H10*C10</f>
        <v>334420.08</v>
      </c>
      <c r="J10" s="72"/>
      <c r="K10" s="72"/>
      <c r="L10" s="72"/>
      <c r="M10" s="72"/>
    </row>
    <row r="11" spans="1:13" x14ac:dyDescent="0.35">
      <c r="A11" s="72"/>
      <c r="B11" s="70" t="s">
        <v>113</v>
      </c>
      <c r="C11" s="70">
        <f>'Analista de BI Sênior'!C88</f>
        <v>3</v>
      </c>
      <c r="D11" s="70" t="s">
        <v>104</v>
      </c>
      <c r="E11" s="70" t="s">
        <v>105</v>
      </c>
      <c r="F11" s="73">
        <f>'Analista de BI Sênior'!D5</f>
        <v>13388.84</v>
      </c>
      <c r="G11" s="73">
        <f>'Analista de BI Sênior'!D85</f>
        <v>21293.77</v>
      </c>
      <c r="H11" s="73">
        <f t="shared" ref="H11:H16" si="3">G11*12</f>
        <v>255525.24</v>
      </c>
      <c r="I11" s="74">
        <f t="shared" si="2"/>
        <v>766575.72</v>
      </c>
      <c r="J11" s="72"/>
      <c r="K11" s="72"/>
      <c r="L11" s="72"/>
      <c r="M11" s="72"/>
    </row>
    <row r="12" spans="1:13" x14ac:dyDescent="0.35">
      <c r="A12" s="72"/>
      <c r="B12" s="70" t="s">
        <v>114</v>
      </c>
      <c r="C12" s="70">
        <f>'Analista de UX_UI Pleno'!C88</f>
        <v>2</v>
      </c>
      <c r="D12" s="70" t="s">
        <v>104</v>
      </c>
      <c r="E12" s="70" t="s">
        <v>105</v>
      </c>
      <c r="F12" s="73">
        <f>'Analista de UX_UI Pleno'!D5</f>
        <v>6759.33</v>
      </c>
      <c r="G12" s="73">
        <f>'Analista de UX_UI Pleno'!D85</f>
        <v>11997.08</v>
      </c>
      <c r="H12" s="73">
        <f t="shared" ref="H12:H15" si="4">G12*12</f>
        <v>143964.96</v>
      </c>
      <c r="I12" s="74">
        <f t="shared" ref="I12:I15" si="5">H12*C12</f>
        <v>287929.92</v>
      </c>
      <c r="J12" s="72"/>
      <c r="K12" s="72"/>
      <c r="L12" s="72"/>
      <c r="M12" s="72"/>
    </row>
    <row r="13" spans="1:13" x14ac:dyDescent="0.35">
      <c r="A13" s="72"/>
      <c r="B13" s="70" t="s">
        <v>115</v>
      </c>
      <c r="C13" s="70">
        <f>'Engenheiro de IA Pleno'!C88</f>
        <v>1</v>
      </c>
      <c r="D13" s="70" t="s">
        <v>104</v>
      </c>
      <c r="E13" s="70" t="s">
        <v>105</v>
      </c>
      <c r="F13" s="73">
        <f>'Engenheiro de IA Pleno'!D5</f>
        <v>10312.870000000001</v>
      </c>
      <c r="G13" s="73">
        <f>'Engenheiro de IA Pleno'!D85</f>
        <v>16980.28</v>
      </c>
      <c r="H13" s="73">
        <f t="shared" si="4"/>
        <v>203763.36</v>
      </c>
      <c r="I13" s="74">
        <f t="shared" si="5"/>
        <v>203763.36</v>
      </c>
      <c r="J13" s="72"/>
      <c r="K13" s="72"/>
      <c r="L13" s="72"/>
      <c r="M13" s="72"/>
    </row>
    <row r="14" spans="1:13" x14ac:dyDescent="0.35">
      <c r="A14" s="72"/>
      <c r="B14" s="70" t="s">
        <v>116</v>
      </c>
      <c r="C14" s="70">
        <f>'Arquiteto de Dados Sênior'!C88</f>
        <v>1</v>
      </c>
      <c r="D14" s="70" t="s">
        <v>104</v>
      </c>
      <c r="E14" s="70" t="s">
        <v>105</v>
      </c>
      <c r="F14" s="73">
        <f>'Arquiteto de Dados Sênior'!D5</f>
        <v>18364.439999999999</v>
      </c>
      <c r="G14" s="73">
        <f>'Arquiteto de Dados Sênior'!D85</f>
        <v>28326.15</v>
      </c>
      <c r="H14" s="73">
        <f t="shared" si="4"/>
        <v>339913.80000000005</v>
      </c>
      <c r="I14" s="74">
        <f t="shared" si="5"/>
        <v>339913.80000000005</v>
      </c>
      <c r="J14" s="72"/>
      <c r="K14" s="72"/>
      <c r="L14" s="72"/>
      <c r="M14" s="72"/>
    </row>
    <row r="15" spans="1:13" x14ac:dyDescent="0.35">
      <c r="A15" s="72"/>
      <c r="B15" s="70" t="s">
        <v>117</v>
      </c>
      <c r="C15" s="70">
        <f>'Administrador de Dados Sênior'!C88</f>
        <v>1</v>
      </c>
      <c r="D15" s="70" t="s">
        <v>104</v>
      </c>
      <c r="E15" s="70" t="s">
        <v>105</v>
      </c>
      <c r="F15" s="73">
        <f>'Administrador de Dados Sênior'!D5</f>
        <v>10995.04</v>
      </c>
      <c r="G15" s="73">
        <f>'Administrador de Dados Sênior'!D85</f>
        <v>17991.900000000001</v>
      </c>
      <c r="H15" s="73">
        <f t="shared" si="4"/>
        <v>215902.80000000002</v>
      </c>
      <c r="I15" s="74">
        <f t="shared" si="5"/>
        <v>215902.80000000002</v>
      </c>
      <c r="J15" s="72"/>
      <c r="K15" s="72"/>
      <c r="L15" s="72"/>
      <c r="M15" s="72"/>
    </row>
    <row r="16" spans="1:13" x14ac:dyDescent="0.35">
      <c r="A16" s="72"/>
      <c r="B16" s="70" t="s">
        <v>118</v>
      </c>
      <c r="C16" s="70">
        <f>'Especialista em Cloud Sênior'!C88</f>
        <v>1</v>
      </c>
      <c r="D16" s="70" t="s">
        <v>104</v>
      </c>
      <c r="E16" s="70" t="s">
        <v>105</v>
      </c>
      <c r="F16" s="73">
        <f>'Especialista em Cloud Sênior'!D5</f>
        <v>15608.88</v>
      </c>
      <c r="G16" s="73">
        <f>'Especialista em Cloud Sênior'!D85</f>
        <v>24406.98</v>
      </c>
      <c r="H16" s="73">
        <f t="shared" si="3"/>
        <v>292883.76</v>
      </c>
      <c r="I16" s="74">
        <f t="shared" si="2"/>
        <v>292883.76</v>
      </c>
      <c r="J16" s="72"/>
      <c r="K16" s="72"/>
      <c r="L16" s="72"/>
      <c r="M16" s="72"/>
    </row>
    <row r="17" spans="1:13" x14ac:dyDescent="0.35">
      <c r="A17" s="72"/>
      <c r="B17" s="134" t="s">
        <v>119</v>
      </c>
      <c r="C17" s="134"/>
      <c r="D17" s="134"/>
      <c r="E17" s="134"/>
      <c r="F17" s="134"/>
      <c r="G17" s="134"/>
      <c r="H17" s="134"/>
      <c r="I17" s="63">
        <f>SUM(I3:I16)</f>
        <v>7439153.5200000005</v>
      </c>
      <c r="J17" s="76"/>
      <c r="K17" s="77"/>
      <c r="L17" s="72"/>
      <c r="M17" s="72"/>
    </row>
    <row r="18" spans="1:13" x14ac:dyDescent="0.35">
      <c r="A18" s="72"/>
      <c r="B18" s="72"/>
      <c r="C18" s="78"/>
      <c r="D18" s="78"/>
      <c r="E18" s="78"/>
      <c r="F18" s="72"/>
      <c r="G18" s="72"/>
      <c r="H18" s="72"/>
      <c r="I18" s="79"/>
      <c r="J18" s="80"/>
      <c r="K18" s="72"/>
      <c r="L18" s="72"/>
      <c r="M18" s="72"/>
    </row>
    <row r="19" spans="1:13" ht="93" x14ac:dyDescent="0.35">
      <c r="A19" s="72"/>
      <c r="B19" s="81" t="s">
        <v>120</v>
      </c>
      <c r="C19" s="72"/>
      <c r="D19" s="72"/>
      <c r="E19" s="72"/>
      <c r="F19" s="72"/>
      <c r="G19" s="72"/>
      <c r="H19" s="72"/>
      <c r="I19" s="82"/>
      <c r="J19" s="80"/>
      <c r="K19" s="72"/>
      <c r="L19" s="72"/>
      <c r="M19" s="72"/>
    </row>
    <row r="20" spans="1:13" x14ac:dyDescent="0.35">
      <c r="A20" s="72"/>
      <c r="B20" s="72"/>
      <c r="C20" s="72"/>
      <c r="D20" s="72"/>
      <c r="E20" s="72"/>
      <c r="F20" s="72"/>
      <c r="G20" s="72"/>
      <c r="H20" s="72"/>
      <c r="I20" s="67"/>
      <c r="J20" s="67"/>
      <c r="K20" s="67"/>
      <c r="L20" s="72"/>
      <c r="M20" s="72"/>
    </row>
    <row r="21" spans="1:13" x14ac:dyDescent="0.35">
      <c r="A21" s="72"/>
      <c r="B21" s="81"/>
      <c r="C21" s="72"/>
      <c r="D21" s="72"/>
      <c r="E21" s="72"/>
      <c r="F21" s="72"/>
      <c r="G21" s="72"/>
      <c r="H21" s="72"/>
      <c r="I21" s="64">
        <v>45296777.770000003</v>
      </c>
      <c r="J21" s="68">
        <f>I17/I21-1</f>
        <v>-0.83576859356810718</v>
      </c>
      <c r="K21" s="67"/>
      <c r="L21" s="72"/>
      <c r="M21" s="72"/>
    </row>
    <row r="22" spans="1:13" x14ac:dyDescent="0.35">
      <c r="A22" s="72"/>
      <c r="B22" s="72"/>
      <c r="C22" s="72"/>
      <c r="D22" s="72"/>
      <c r="E22" s="72"/>
      <c r="F22" s="72"/>
      <c r="G22" s="72"/>
      <c r="H22" s="72"/>
      <c r="I22" s="67"/>
      <c r="J22" s="69">
        <v>2.9532019370780833E-2</v>
      </c>
      <c r="K22" s="67"/>
      <c r="L22" s="72"/>
      <c r="M22" s="72"/>
    </row>
    <row r="23" spans="1:13" x14ac:dyDescent="0.35">
      <c r="A23" s="72"/>
      <c r="B23" s="81"/>
      <c r="C23" s="72"/>
      <c r="D23" s="72"/>
      <c r="E23" s="72"/>
      <c r="F23" s="72"/>
      <c r="G23" s="72"/>
      <c r="H23" s="72"/>
      <c r="I23" s="67"/>
      <c r="J23" s="67"/>
      <c r="K23" s="67"/>
      <c r="L23" s="72"/>
      <c r="M23" s="72"/>
    </row>
    <row r="24" spans="1:13" x14ac:dyDescent="0.35">
      <c r="A24" s="72"/>
      <c r="B24" s="72"/>
      <c r="C24" s="72"/>
      <c r="D24" s="72"/>
      <c r="E24" s="72"/>
      <c r="F24" s="72"/>
      <c r="G24" s="72"/>
      <c r="H24" s="72"/>
      <c r="I24" s="83"/>
      <c r="J24" s="72"/>
      <c r="K24" s="72"/>
      <c r="L24" s="72"/>
      <c r="M24" s="72"/>
    </row>
    <row r="25" spans="1:13" x14ac:dyDescent="0.35">
      <c r="A25" s="72"/>
      <c r="B25" s="72"/>
      <c r="C25" s="72"/>
      <c r="D25" s="72"/>
      <c r="E25" s="72"/>
      <c r="F25" s="72"/>
      <c r="G25" s="72"/>
      <c r="H25" s="72"/>
      <c r="I25" s="83"/>
      <c r="J25" s="72"/>
      <c r="K25" s="72"/>
      <c r="L25" s="72"/>
      <c r="M25" s="72"/>
    </row>
    <row r="26" spans="1:13" x14ac:dyDescent="0.35">
      <c r="A26" s="72"/>
      <c r="B26" s="72"/>
      <c r="C26" s="72"/>
      <c r="D26" s="72"/>
      <c r="E26" s="72"/>
      <c r="F26" s="72"/>
      <c r="G26" s="72"/>
      <c r="H26" s="72"/>
      <c r="I26" s="84"/>
      <c r="J26" s="72"/>
      <c r="K26" s="83"/>
      <c r="L26" s="72"/>
      <c r="M26" s="72"/>
    </row>
    <row r="27" spans="1:13" x14ac:dyDescent="0.35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</row>
    <row r="28" spans="1:13" x14ac:dyDescent="0.3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13" x14ac:dyDescent="0.3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</sheetData>
  <mergeCells count="1">
    <mergeCell ref="B17:H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712B-D09B-414A-B871-CDEAA65F9E8C}">
  <sheetPr>
    <pageSetUpPr fitToPage="1"/>
  </sheetPr>
  <dimension ref="A2:G85"/>
  <sheetViews>
    <sheetView showGridLines="0" topLeftCell="A20" zoomScale="90" zoomScaleNormal="90" workbookViewId="0">
      <selection activeCell="C76" sqref="C76:D76"/>
    </sheetView>
  </sheetViews>
  <sheetFormatPr defaultColWidth="9.08984375" defaultRowHeight="15.5" x14ac:dyDescent="0.35"/>
  <cols>
    <col min="1" max="1" width="9.08984375" style="40"/>
    <col min="2" max="2" width="67.453125" style="40" customWidth="1"/>
    <col min="3" max="3" width="49.453125" style="40" customWidth="1"/>
    <col min="4" max="4" width="66.453125" style="40" customWidth="1"/>
    <col min="5" max="16384" width="9.08984375" style="40"/>
  </cols>
  <sheetData>
    <row r="2" spans="2:4" x14ac:dyDescent="0.35">
      <c r="B2" s="138" t="s">
        <v>121</v>
      </c>
      <c r="C2" s="138"/>
      <c r="D2" s="138"/>
    </row>
    <row r="3" spans="2:4" ht="33.75" customHeight="1" x14ac:dyDescent="0.35">
      <c r="B3" s="139" t="s">
        <v>122</v>
      </c>
      <c r="C3" s="139"/>
      <c r="D3" s="139"/>
    </row>
    <row r="4" spans="2:4" ht="5.15" customHeight="1" x14ac:dyDescent="0.35">
      <c r="B4" s="140"/>
      <c r="C4" s="140"/>
      <c r="D4" s="140"/>
    </row>
    <row r="5" spans="2:4" x14ac:dyDescent="0.35">
      <c r="B5" s="138" t="s">
        <v>123</v>
      </c>
      <c r="C5" s="138"/>
      <c r="D5" s="138"/>
    </row>
    <row r="6" spans="2:4" ht="5.15" customHeight="1" x14ac:dyDescent="0.35">
      <c r="B6" s="141"/>
      <c r="C6" s="141"/>
      <c r="D6" s="141"/>
    </row>
    <row r="7" spans="2:4" x14ac:dyDescent="0.35">
      <c r="B7" s="138" t="s">
        <v>124</v>
      </c>
      <c r="C7" s="138"/>
      <c r="D7" s="138"/>
    </row>
    <row r="8" spans="2:4" x14ac:dyDescent="0.35">
      <c r="B8" s="39" t="s">
        <v>125</v>
      </c>
      <c r="C8" s="39" t="s">
        <v>126</v>
      </c>
      <c r="D8" s="39" t="s">
        <v>127</v>
      </c>
    </row>
    <row r="9" spans="2:4" ht="46.5" x14ac:dyDescent="0.35">
      <c r="B9" s="85" t="s">
        <v>128</v>
      </c>
      <c r="C9" s="86">
        <v>0</v>
      </c>
      <c r="D9" s="85" t="s">
        <v>129</v>
      </c>
    </row>
    <row r="10" spans="2:4" x14ac:dyDescent="0.35">
      <c r="B10" s="85" t="s">
        <v>130</v>
      </c>
      <c r="C10" s="86">
        <v>0.08</v>
      </c>
      <c r="D10" s="85" t="s">
        <v>131</v>
      </c>
    </row>
    <row r="11" spans="2:4" x14ac:dyDescent="0.35">
      <c r="B11" s="85" t="s">
        <v>132</v>
      </c>
      <c r="C11" s="86">
        <v>1.4999999999999999E-2</v>
      </c>
      <c r="D11" s="85" t="s">
        <v>133</v>
      </c>
    </row>
    <row r="12" spans="2:4" ht="31" x14ac:dyDescent="0.35">
      <c r="B12" s="85" t="s">
        <v>134</v>
      </c>
      <c r="C12" s="86">
        <v>0.01</v>
      </c>
      <c r="D12" s="85" t="s">
        <v>135</v>
      </c>
    </row>
    <row r="13" spans="2:4" x14ac:dyDescent="0.35">
      <c r="B13" s="85" t="s">
        <v>136</v>
      </c>
      <c r="C13" s="86">
        <v>2E-3</v>
      </c>
      <c r="D13" s="85" t="s">
        <v>137</v>
      </c>
    </row>
    <row r="14" spans="2:4" x14ac:dyDescent="0.35">
      <c r="B14" s="85" t="s">
        <v>138</v>
      </c>
      <c r="C14" s="86">
        <v>6.0000000000000001E-3</v>
      </c>
      <c r="D14" s="85" t="s">
        <v>139</v>
      </c>
    </row>
    <row r="15" spans="2:4" x14ac:dyDescent="0.35">
      <c r="B15" s="85" t="s">
        <v>140</v>
      </c>
      <c r="C15" s="86">
        <v>2.5000000000000001E-2</v>
      </c>
      <c r="D15" s="85" t="s">
        <v>141</v>
      </c>
    </row>
    <row r="16" spans="2:4" ht="74.25" customHeight="1" x14ac:dyDescent="0.35">
      <c r="B16" s="85" t="s">
        <v>142</v>
      </c>
      <c r="C16" s="86">
        <v>0.01</v>
      </c>
      <c r="D16" s="85" t="s">
        <v>143</v>
      </c>
    </row>
    <row r="17" spans="2:4" ht="50.25" customHeight="1" x14ac:dyDescent="0.35">
      <c r="B17" s="142" t="s">
        <v>144</v>
      </c>
      <c r="C17" s="142"/>
      <c r="D17" s="142"/>
    </row>
    <row r="18" spans="2:4" ht="5.15" customHeight="1" x14ac:dyDescent="0.35">
      <c r="B18" s="140"/>
      <c r="C18" s="140"/>
      <c r="D18" s="140"/>
    </row>
    <row r="19" spans="2:4" x14ac:dyDescent="0.35">
      <c r="B19" s="138" t="s">
        <v>145</v>
      </c>
      <c r="C19" s="138"/>
      <c r="D19" s="138"/>
    </row>
    <row r="20" spans="2:4" x14ac:dyDescent="0.35">
      <c r="B20" s="39" t="s">
        <v>125</v>
      </c>
      <c r="C20" s="39" t="s">
        <v>126</v>
      </c>
      <c r="D20" s="39" t="s">
        <v>127</v>
      </c>
    </row>
    <row r="21" spans="2:4" x14ac:dyDescent="0.35">
      <c r="B21" s="85" t="s">
        <v>146</v>
      </c>
      <c r="C21" s="87" t="s">
        <v>147</v>
      </c>
      <c r="D21" s="85" t="s">
        <v>148</v>
      </c>
    </row>
    <row r="22" spans="2:4" x14ac:dyDescent="0.35">
      <c r="B22" s="85" t="s">
        <v>149</v>
      </c>
      <c r="C22" s="87" t="s">
        <v>147</v>
      </c>
      <c r="D22" s="85" t="s">
        <v>148</v>
      </c>
    </row>
    <row r="23" spans="2:4" x14ac:dyDescent="0.35">
      <c r="B23" s="85" t="s">
        <v>150</v>
      </c>
      <c r="C23" s="86" t="s">
        <v>151</v>
      </c>
      <c r="D23" s="85" t="s">
        <v>152</v>
      </c>
    </row>
    <row r="24" spans="2:4" ht="31" x14ac:dyDescent="0.35">
      <c r="B24" s="85" t="s">
        <v>153</v>
      </c>
      <c r="C24" s="86" t="s">
        <v>154</v>
      </c>
      <c r="D24" s="85" t="s">
        <v>155</v>
      </c>
    </row>
    <row r="25" spans="2:4" ht="31" x14ac:dyDescent="0.35">
      <c r="B25" s="85" t="s">
        <v>156</v>
      </c>
      <c r="C25" s="86" t="s">
        <v>157</v>
      </c>
      <c r="D25" s="85" t="s">
        <v>158</v>
      </c>
    </row>
    <row r="26" spans="2:4" x14ac:dyDescent="0.35">
      <c r="B26" s="85" t="s">
        <v>159</v>
      </c>
      <c r="C26" s="86" t="s">
        <v>160</v>
      </c>
      <c r="D26" s="85" t="s">
        <v>158</v>
      </c>
    </row>
    <row r="27" spans="2:4" x14ac:dyDescent="0.35">
      <c r="B27" s="85" t="s">
        <v>161</v>
      </c>
      <c r="C27" s="86" t="s">
        <v>162</v>
      </c>
      <c r="D27" s="85" t="s">
        <v>163</v>
      </c>
    </row>
    <row r="28" spans="2:4" x14ac:dyDescent="0.35">
      <c r="B28" s="85" t="s">
        <v>164</v>
      </c>
      <c r="C28" s="86" t="s">
        <v>165</v>
      </c>
      <c r="D28" s="85" t="s">
        <v>166</v>
      </c>
    </row>
    <row r="29" spans="2:4" x14ac:dyDescent="0.35">
      <c r="B29" s="88" t="s">
        <v>167</v>
      </c>
      <c r="C29" s="88"/>
      <c r="D29" s="88"/>
    </row>
    <row r="30" spans="2:4" x14ac:dyDescent="0.35">
      <c r="B30" s="143" t="s">
        <v>168</v>
      </c>
      <c r="C30" s="144"/>
      <c r="D30" s="145"/>
    </row>
    <row r="31" spans="2:4" ht="58.5" customHeight="1" x14ac:dyDescent="0.35">
      <c r="B31" s="135" t="s">
        <v>169</v>
      </c>
      <c r="C31" s="136"/>
      <c r="D31" s="137"/>
    </row>
    <row r="32" spans="2:4" ht="53.25" customHeight="1" x14ac:dyDescent="0.35">
      <c r="B32" s="135" t="s">
        <v>170</v>
      </c>
      <c r="C32" s="136"/>
      <c r="D32" s="137"/>
    </row>
    <row r="33" spans="2:4" ht="35.25" customHeight="1" x14ac:dyDescent="0.35">
      <c r="B33" s="135" t="s">
        <v>171</v>
      </c>
      <c r="C33" s="136"/>
      <c r="D33" s="137"/>
    </row>
    <row r="34" spans="2:4" ht="27.75" customHeight="1" x14ac:dyDescent="0.35">
      <c r="B34" s="135" t="s">
        <v>172</v>
      </c>
      <c r="C34" s="136"/>
      <c r="D34" s="137"/>
    </row>
    <row r="35" spans="2:4" ht="32.25" customHeight="1" x14ac:dyDescent="0.35">
      <c r="B35" s="146" t="s">
        <v>173</v>
      </c>
      <c r="C35" s="147"/>
      <c r="D35" s="148"/>
    </row>
    <row r="36" spans="2:4" ht="19.5" customHeight="1" x14ac:dyDescent="0.35">
      <c r="B36" s="140"/>
      <c r="C36" s="140"/>
      <c r="D36" s="140"/>
    </row>
    <row r="37" spans="2:4" x14ac:dyDescent="0.35">
      <c r="B37" s="138" t="s">
        <v>174</v>
      </c>
      <c r="C37" s="138"/>
      <c r="D37" s="138"/>
    </row>
    <row r="38" spans="2:4" x14ac:dyDescent="0.35">
      <c r="B38" s="39" t="s">
        <v>125</v>
      </c>
      <c r="C38" s="39" t="s">
        <v>126</v>
      </c>
      <c r="D38" s="39" t="s">
        <v>127</v>
      </c>
    </row>
    <row r="39" spans="2:4" x14ac:dyDescent="0.35">
      <c r="B39" s="85" t="s">
        <v>175</v>
      </c>
      <c r="C39" s="87" t="s">
        <v>176</v>
      </c>
      <c r="D39" s="85" t="s">
        <v>177</v>
      </c>
    </row>
    <row r="40" spans="2:4" x14ac:dyDescent="0.35">
      <c r="B40" s="85" t="s">
        <v>178</v>
      </c>
      <c r="C40" s="87" t="s">
        <v>179</v>
      </c>
      <c r="D40" s="85" t="s">
        <v>180</v>
      </c>
    </row>
    <row r="41" spans="2:4" x14ac:dyDescent="0.35">
      <c r="B41" s="85" t="s">
        <v>181</v>
      </c>
      <c r="C41" s="86" t="s">
        <v>182</v>
      </c>
      <c r="D41" s="85" t="s">
        <v>183</v>
      </c>
    </row>
    <row r="42" spans="2:4" x14ac:dyDescent="0.35">
      <c r="B42" s="85" t="s">
        <v>184</v>
      </c>
      <c r="C42" s="86" t="s">
        <v>185</v>
      </c>
      <c r="D42" s="85" t="s">
        <v>186</v>
      </c>
    </row>
    <row r="43" spans="2:4" ht="31" x14ac:dyDescent="0.35">
      <c r="B43" s="85" t="s">
        <v>187</v>
      </c>
      <c r="C43" s="86" t="s">
        <v>188</v>
      </c>
      <c r="D43" s="85" t="s">
        <v>186</v>
      </c>
    </row>
    <row r="44" spans="2:4" x14ac:dyDescent="0.35">
      <c r="B44" s="88" t="s">
        <v>167</v>
      </c>
      <c r="C44" s="88"/>
      <c r="D44" s="88"/>
    </row>
    <row r="45" spans="2:4" x14ac:dyDescent="0.35">
      <c r="B45" s="143" t="s">
        <v>189</v>
      </c>
      <c r="C45" s="144"/>
      <c r="D45" s="145"/>
    </row>
    <row r="46" spans="2:4" ht="32.25" customHeight="1" x14ac:dyDescent="0.35">
      <c r="B46" s="135" t="s">
        <v>190</v>
      </c>
      <c r="C46" s="136"/>
      <c r="D46" s="137"/>
    </row>
    <row r="47" spans="2:4" x14ac:dyDescent="0.35">
      <c r="B47" s="146" t="s">
        <v>191</v>
      </c>
      <c r="C47" s="147"/>
      <c r="D47" s="148"/>
    </row>
    <row r="48" spans="2:4" ht="5.15" customHeight="1" x14ac:dyDescent="0.35">
      <c r="B48" s="140"/>
      <c r="C48" s="140"/>
      <c r="D48" s="140"/>
    </row>
    <row r="49" spans="2:4" x14ac:dyDescent="0.35">
      <c r="B49" s="138" t="s">
        <v>192</v>
      </c>
      <c r="C49" s="138"/>
      <c r="D49" s="138"/>
    </row>
    <row r="50" spans="2:4" x14ac:dyDescent="0.35">
      <c r="B50" s="39" t="s">
        <v>125</v>
      </c>
      <c r="C50" s="39" t="s">
        <v>126</v>
      </c>
      <c r="D50" s="39" t="s">
        <v>127</v>
      </c>
    </row>
    <row r="51" spans="2:4" x14ac:dyDescent="0.35">
      <c r="B51" s="85" t="s">
        <v>193</v>
      </c>
      <c r="C51" s="87" t="s">
        <v>194</v>
      </c>
      <c r="D51" s="87" t="s">
        <v>10</v>
      </c>
    </row>
    <row r="52" spans="2:4" ht="5.15" customHeight="1" x14ac:dyDescent="0.35">
      <c r="B52" s="140"/>
      <c r="C52" s="140"/>
      <c r="D52" s="140"/>
    </row>
    <row r="53" spans="2:4" x14ac:dyDescent="0.35">
      <c r="B53" s="138" t="s">
        <v>195</v>
      </c>
      <c r="C53" s="138"/>
      <c r="D53" s="138"/>
    </row>
    <row r="54" spans="2:4" x14ac:dyDescent="0.35">
      <c r="B54" s="39" t="s">
        <v>125</v>
      </c>
      <c r="C54" s="39" t="s">
        <v>126</v>
      </c>
      <c r="D54" s="39" t="s">
        <v>127</v>
      </c>
    </row>
    <row r="55" spans="2:4" ht="31" x14ac:dyDescent="0.35">
      <c r="B55" s="85" t="s">
        <v>196</v>
      </c>
      <c r="C55" s="87" t="s">
        <v>197</v>
      </c>
      <c r="D55" s="85" t="s">
        <v>198</v>
      </c>
    </row>
    <row r="56" spans="2:4" ht="31" x14ac:dyDescent="0.35">
      <c r="B56" s="85" t="s">
        <v>199</v>
      </c>
      <c r="C56" s="87" t="s">
        <v>200</v>
      </c>
      <c r="D56" s="85" t="s">
        <v>201</v>
      </c>
    </row>
    <row r="57" spans="2:4" x14ac:dyDescent="0.35">
      <c r="B57" s="85" t="s">
        <v>202</v>
      </c>
      <c r="C57" s="86" t="s">
        <v>203</v>
      </c>
      <c r="D57" s="85" t="s">
        <v>201</v>
      </c>
    </row>
    <row r="58" spans="2:4" x14ac:dyDescent="0.35">
      <c r="B58" s="88" t="s">
        <v>167</v>
      </c>
      <c r="C58" s="88"/>
      <c r="D58" s="88"/>
    </row>
    <row r="59" spans="2:4" ht="20.25" customHeight="1" x14ac:dyDescent="0.35">
      <c r="B59" s="143" t="s">
        <v>204</v>
      </c>
      <c r="C59" s="144"/>
      <c r="D59" s="145"/>
    </row>
    <row r="60" spans="2:4" ht="21.75" customHeight="1" x14ac:dyDescent="0.35">
      <c r="B60" s="146"/>
      <c r="C60" s="147"/>
      <c r="D60" s="148"/>
    </row>
    <row r="61" spans="2:4" ht="5.15" customHeight="1" x14ac:dyDescent="0.35">
      <c r="B61" s="140"/>
      <c r="C61" s="140"/>
      <c r="D61" s="140"/>
    </row>
    <row r="62" spans="2:4" x14ac:dyDescent="0.35">
      <c r="B62" s="138" t="s">
        <v>205</v>
      </c>
      <c r="C62" s="138"/>
      <c r="D62" s="138"/>
    </row>
    <row r="63" spans="2:4" x14ac:dyDescent="0.35">
      <c r="B63" s="39" t="s">
        <v>125</v>
      </c>
      <c r="C63" s="39" t="s">
        <v>126</v>
      </c>
      <c r="D63" s="39" t="s">
        <v>127</v>
      </c>
    </row>
    <row r="64" spans="2:4" x14ac:dyDescent="0.35">
      <c r="B64" s="85" t="s">
        <v>206</v>
      </c>
      <c r="C64" s="87" t="s">
        <v>207</v>
      </c>
      <c r="D64" s="87" t="s">
        <v>10</v>
      </c>
    </row>
    <row r="65" spans="1:7" ht="5.15" customHeight="1" x14ac:dyDescent="0.35">
      <c r="A65" s="89"/>
      <c r="B65" s="140"/>
      <c r="C65" s="140"/>
      <c r="D65" s="140"/>
      <c r="E65" s="89"/>
      <c r="F65" s="89"/>
      <c r="G65" s="89"/>
    </row>
    <row r="66" spans="1:7" x14ac:dyDescent="0.35">
      <c r="A66" s="89"/>
      <c r="B66" s="138" t="s">
        <v>208</v>
      </c>
      <c r="C66" s="138"/>
      <c r="D66" s="138"/>
      <c r="E66" s="89"/>
      <c r="F66" s="89"/>
      <c r="G66" s="89"/>
    </row>
    <row r="67" spans="1:7" ht="5.15" customHeight="1" x14ac:dyDescent="0.35">
      <c r="A67" s="89"/>
      <c r="B67" s="141"/>
      <c r="C67" s="141"/>
      <c r="D67" s="141"/>
      <c r="E67" s="89"/>
      <c r="F67" s="89"/>
      <c r="G67" s="89"/>
    </row>
    <row r="68" spans="1:7" ht="15" customHeight="1" x14ac:dyDescent="0.35">
      <c r="A68" s="89"/>
      <c r="B68" s="93" t="s">
        <v>50</v>
      </c>
      <c r="C68" s="143" t="s">
        <v>209</v>
      </c>
      <c r="D68" s="145"/>
      <c r="E68" s="89"/>
      <c r="F68" s="89"/>
      <c r="G68" s="89"/>
    </row>
    <row r="69" spans="1:7" ht="15" customHeight="1" x14ac:dyDescent="0.35">
      <c r="A69" s="89"/>
      <c r="B69" s="93" t="s">
        <v>51</v>
      </c>
      <c r="C69" s="135"/>
      <c r="D69" s="137"/>
      <c r="E69" s="89"/>
      <c r="F69" s="89"/>
      <c r="G69" s="89"/>
    </row>
    <row r="70" spans="1:7" ht="15" customHeight="1" x14ac:dyDescent="0.35">
      <c r="A70" s="89"/>
      <c r="B70" s="93" t="s">
        <v>53</v>
      </c>
      <c r="C70" s="146"/>
      <c r="D70" s="148"/>
      <c r="E70" s="89"/>
      <c r="F70" s="89"/>
      <c r="G70" s="89"/>
    </row>
    <row r="71" spans="1:7" ht="93" customHeight="1" x14ac:dyDescent="0.35">
      <c r="A71" s="89"/>
      <c r="B71" s="94" t="s">
        <v>210</v>
      </c>
      <c r="C71" s="149" t="s">
        <v>211</v>
      </c>
      <c r="D71" s="150"/>
      <c r="E71" s="89"/>
      <c r="F71" s="89"/>
      <c r="G71" s="89"/>
    </row>
    <row r="72" spans="1:7" ht="81" customHeight="1" x14ac:dyDescent="0.35">
      <c r="A72" s="89"/>
      <c r="B72" s="93" t="s">
        <v>212</v>
      </c>
      <c r="C72" s="149" t="s">
        <v>213</v>
      </c>
      <c r="D72" s="150"/>
      <c r="E72" s="89"/>
      <c r="F72" s="89"/>
      <c r="G72" s="89"/>
    </row>
    <row r="73" spans="1:7" ht="81" customHeight="1" x14ac:dyDescent="0.35">
      <c r="A73" s="89"/>
      <c r="B73" s="93" t="s">
        <v>80</v>
      </c>
      <c r="C73" s="149" t="s">
        <v>214</v>
      </c>
      <c r="D73" s="150"/>
      <c r="E73" s="89"/>
      <c r="F73" s="89"/>
      <c r="G73" s="89"/>
    </row>
    <row r="74" spans="1:7" ht="81" customHeight="1" x14ac:dyDescent="0.35">
      <c r="A74" s="89"/>
      <c r="B74" s="93" t="s">
        <v>58</v>
      </c>
      <c r="C74" s="149" t="s">
        <v>215</v>
      </c>
      <c r="D74" s="150"/>
      <c r="E74" s="89"/>
      <c r="F74" s="89"/>
      <c r="G74" s="89"/>
    </row>
    <row r="75" spans="1:7" ht="81" customHeight="1" x14ac:dyDescent="0.35">
      <c r="A75" s="89"/>
      <c r="B75" s="93" t="s">
        <v>92</v>
      </c>
      <c r="C75" s="149" t="s">
        <v>216</v>
      </c>
      <c r="D75" s="150"/>
      <c r="E75" s="89"/>
      <c r="F75" s="89"/>
      <c r="G75" s="89"/>
    </row>
    <row r="76" spans="1:7" ht="97.5" customHeight="1" x14ac:dyDescent="0.35">
      <c r="A76" s="89"/>
      <c r="B76" s="93" t="s">
        <v>59</v>
      </c>
      <c r="C76" s="149" t="s">
        <v>217</v>
      </c>
      <c r="D76" s="150"/>
      <c r="E76" s="89"/>
      <c r="F76" s="89"/>
      <c r="G76" s="89"/>
    </row>
    <row r="77" spans="1:7" ht="5.15" customHeight="1" x14ac:dyDescent="0.35">
      <c r="A77" s="89"/>
      <c r="B77" s="140"/>
      <c r="C77" s="140"/>
      <c r="D77" s="140"/>
      <c r="E77" s="89"/>
      <c r="F77" s="89"/>
      <c r="G77" s="89"/>
    </row>
    <row r="78" spans="1:7" x14ac:dyDescent="0.35">
      <c r="A78" s="89"/>
      <c r="B78" s="138" t="s">
        <v>218</v>
      </c>
      <c r="C78" s="138"/>
      <c r="D78" s="138"/>
      <c r="E78" s="90"/>
      <c r="F78" s="89"/>
      <c r="G78" s="89"/>
    </row>
    <row r="79" spans="1:7" ht="5.15" customHeight="1" x14ac:dyDescent="0.35">
      <c r="A79" s="89"/>
      <c r="B79" s="139"/>
      <c r="C79" s="139"/>
      <c r="D79" s="139"/>
      <c r="E79" s="90"/>
      <c r="F79" s="89"/>
      <c r="G79" s="89"/>
    </row>
    <row r="80" spans="1:7" x14ac:dyDescent="0.35">
      <c r="A80" s="89"/>
      <c r="B80" s="151" t="s">
        <v>219</v>
      </c>
      <c r="C80" s="151"/>
      <c r="D80" s="151"/>
      <c r="E80" s="90"/>
      <c r="F80" s="89"/>
      <c r="G80" s="89"/>
    </row>
    <row r="81" spans="1:7" ht="65.25" customHeight="1" x14ac:dyDescent="0.35">
      <c r="A81" s="89"/>
      <c r="B81" s="152" t="s">
        <v>220</v>
      </c>
      <c r="C81" s="152"/>
      <c r="D81" s="152"/>
      <c r="E81" s="90"/>
      <c r="F81" s="89"/>
      <c r="G81" s="89"/>
    </row>
    <row r="82" spans="1:7" ht="36.75" customHeight="1" x14ac:dyDescent="0.35">
      <c r="A82" s="89"/>
      <c r="B82" s="152" t="s">
        <v>221</v>
      </c>
      <c r="C82" s="152"/>
      <c r="D82" s="152"/>
      <c r="E82" s="89"/>
      <c r="F82" s="89"/>
      <c r="G82" s="89"/>
    </row>
    <row r="83" spans="1:7" ht="15" customHeight="1" x14ac:dyDescent="0.35">
      <c r="A83" s="89"/>
      <c r="B83" s="153" t="s">
        <v>222</v>
      </c>
      <c r="C83" s="154"/>
      <c r="D83" s="155"/>
      <c r="E83" s="89"/>
      <c r="F83" s="89"/>
      <c r="G83" s="89"/>
    </row>
    <row r="84" spans="1:7" ht="42.75" customHeight="1" x14ac:dyDescent="0.35">
      <c r="A84" s="89"/>
      <c r="B84" s="152" t="s">
        <v>223</v>
      </c>
      <c r="C84" s="152"/>
      <c r="D84" s="152"/>
      <c r="E84" s="89"/>
      <c r="F84" s="89"/>
      <c r="G84" s="89"/>
    </row>
    <row r="85" spans="1:7" x14ac:dyDescent="0.35">
      <c r="A85" s="89"/>
      <c r="B85" s="89"/>
      <c r="C85" s="89"/>
      <c r="D85" s="89"/>
      <c r="E85" s="89"/>
      <c r="F85" s="89"/>
      <c r="G85" s="89"/>
    </row>
  </sheetData>
  <mergeCells count="45">
    <mergeCell ref="B80:D80"/>
    <mergeCell ref="B81:D81"/>
    <mergeCell ref="B82:D82"/>
    <mergeCell ref="B83:D83"/>
    <mergeCell ref="B84:D84"/>
    <mergeCell ref="B79:D79"/>
    <mergeCell ref="B59:D60"/>
    <mergeCell ref="B61:D61"/>
    <mergeCell ref="B62:D62"/>
    <mergeCell ref="B65:D65"/>
    <mergeCell ref="B66:D66"/>
    <mergeCell ref="B67:D67"/>
    <mergeCell ref="C68:D70"/>
    <mergeCell ref="C72:D72"/>
    <mergeCell ref="C76:D76"/>
    <mergeCell ref="B77:D77"/>
    <mergeCell ref="B78:D78"/>
    <mergeCell ref="C75:D75"/>
    <mergeCell ref="C71:D71"/>
    <mergeCell ref="C73:D73"/>
    <mergeCell ref="C74:D74"/>
    <mergeCell ref="B53:D53"/>
    <mergeCell ref="B33:D33"/>
    <mergeCell ref="B34:D34"/>
    <mergeCell ref="B35:D35"/>
    <mergeCell ref="B36:D36"/>
    <mergeCell ref="B37:D37"/>
    <mergeCell ref="B45:D45"/>
    <mergeCell ref="B46:D46"/>
    <mergeCell ref="B47:D47"/>
    <mergeCell ref="B48:D48"/>
    <mergeCell ref="B49:D49"/>
    <mergeCell ref="B52:D52"/>
    <mergeCell ref="B32:D32"/>
    <mergeCell ref="B2:D2"/>
    <mergeCell ref="B3:D3"/>
    <mergeCell ref="B4:D4"/>
    <mergeCell ref="B5:D5"/>
    <mergeCell ref="B6:D6"/>
    <mergeCell ref="B7:D7"/>
    <mergeCell ref="B17:D17"/>
    <mergeCell ref="B18:D18"/>
    <mergeCell ref="B19:D19"/>
    <mergeCell ref="B30:D30"/>
    <mergeCell ref="B31:D31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F5A1-F7B7-4D1B-9A10-C64DB827FF65}">
  <dimension ref="A1:G110"/>
  <sheetViews>
    <sheetView workbookViewId="0">
      <selection activeCell="C79" sqref="C79:C82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23" t="s">
        <v>77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16038.6</v>
      </c>
    </row>
    <row r="5" spans="1:6" x14ac:dyDescent="0.35">
      <c r="B5" s="98" t="s">
        <v>6</v>
      </c>
      <c r="C5" s="99"/>
      <c r="D5" s="2">
        <f>D4</f>
        <v>16038.6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1283.088</v>
      </c>
    </row>
    <row r="12" spans="1:6" x14ac:dyDescent="0.35">
      <c r="B12" s="3" t="s">
        <v>12</v>
      </c>
      <c r="C12" s="4">
        <v>1.4999999999999999E-2</v>
      </c>
      <c r="D12" s="5">
        <f>(D5)*C12</f>
        <v>240.57900000000001</v>
      </c>
    </row>
    <row r="13" spans="1:6" ht="15" customHeight="1" x14ac:dyDescent="0.35">
      <c r="B13" s="3" t="s">
        <v>13</v>
      </c>
      <c r="C13" s="4">
        <v>0.01</v>
      </c>
      <c r="D13" s="5">
        <f>(D5)*C13</f>
        <v>160.386</v>
      </c>
    </row>
    <row r="14" spans="1:6" x14ac:dyDescent="0.35">
      <c r="B14" s="3" t="s">
        <v>14</v>
      </c>
      <c r="C14" s="4">
        <v>2E-3</v>
      </c>
      <c r="D14" s="5">
        <f>(D5)*C14</f>
        <v>32.077200000000005</v>
      </c>
    </row>
    <row r="15" spans="1:6" x14ac:dyDescent="0.35">
      <c r="B15" s="3" t="s">
        <v>15</v>
      </c>
      <c r="C15" s="4">
        <v>6.0000000000000001E-3</v>
      </c>
      <c r="D15" s="5">
        <f>(D5)*C15</f>
        <v>96.2316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400.96500000000003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160.386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2373.7127999999998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1336.4965380000001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1336.4965380000001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2672.9930760000002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513.23520000000008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445.55230799999998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958.78750800000012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395.67226200000005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395.67226200000005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35.605692000000005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35.605692000000005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15.878214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15.878214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6452.6495520000008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22491.249552000001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>
        <v>85</v>
      </c>
    </row>
    <row r="65" spans="2:4" x14ac:dyDescent="0.35">
      <c r="B65" s="25" t="s">
        <v>58</v>
      </c>
      <c r="C65" s="26"/>
      <c r="D65" s="48">
        <v>60</v>
      </c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2663.3333333333335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25154.582885333333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25154.58</v>
      </c>
      <c r="E85" s="52"/>
    </row>
    <row r="86" spans="1:6" x14ac:dyDescent="0.35">
      <c r="B86" s="41"/>
      <c r="C86" s="42" t="s">
        <v>74</v>
      </c>
      <c r="D86" s="55">
        <f>D85/D4</f>
        <v>1.5683775391867121</v>
      </c>
      <c r="E86" s="52"/>
    </row>
    <row r="87" spans="1:6" x14ac:dyDescent="0.35">
      <c r="B87" s="96" t="s">
        <v>75</v>
      </c>
      <c r="C87" s="97"/>
      <c r="D87" s="5">
        <f>ROUND(D85*12,2)</f>
        <v>301854.96000000002</v>
      </c>
      <c r="E87" s="45"/>
      <c r="F87" s="44"/>
    </row>
    <row r="88" spans="1:6" ht="21.5" thickBot="1" x14ac:dyDescent="0.4">
      <c r="B88" s="36" t="s">
        <v>76</v>
      </c>
      <c r="C88" s="37">
        <v>1</v>
      </c>
      <c r="D88" s="38">
        <f>D87*C88</f>
        <v>301854.96000000002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4A00522A-DCCF-4A01-818B-DAC6E13EA526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5C2E-0215-449B-99EE-6BA5240420EC}">
  <dimension ref="A1:G110"/>
  <sheetViews>
    <sheetView topLeftCell="B45" zoomScale="133" zoomScaleNormal="90" workbookViewId="0">
      <selection activeCell="C79" sqref="C79:C82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.90625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23" t="s">
        <v>81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13560.89</v>
      </c>
    </row>
    <row r="5" spans="1:6" x14ac:dyDescent="0.35">
      <c r="B5" s="98" t="s">
        <v>6</v>
      </c>
      <c r="C5" s="99"/>
      <c r="D5" s="2">
        <f>D4</f>
        <v>13560.89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1084.8712</v>
      </c>
    </row>
    <row r="12" spans="1:6" x14ac:dyDescent="0.35">
      <c r="B12" s="3" t="s">
        <v>12</v>
      </c>
      <c r="C12" s="4">
        <v>1.4999999999999999E-2</v>
      </c>
      <c r="D12" s="5">
        <f>(D5)*C12</f>
        <v>203.41334999999998</v>
      </c>
    </row>
    <row r="13" spans="1:6" ht="15" customHeight="1" x14ac:dyDescent="0.35">
      <c r="B13" s="3" t="s">
        <v>13</v>
      </c>
      <c r="C13" s="4">
        <v>0.01</v>
      </c>
      <c r="D13" s="5">
        <f>(D5)*C13</f>
        <v>135.60890000000001</v>
      </c>
    </row>
    <row r="14" spans="1:6" x14ac:dyDescent="0.35">
      <c r="B14" s="3" t="s">
        <v>14</v>
      </c>
      <c r="C14" s="4">
        <v>2E-3</v>
      </c>
      <c r="D14" s="5">
        <f>(D5)*C14</f>
        <v>27.121780000000001</v>
      </c>
    </row>
    <row r="15" spans="1:6" x14ac:dyDescent="0.35">
      <c r="B15" s="3" t="s">
        <v>15</v>
      </c>
      <c r="C15" s="4">
        <v>6.0000000000000001E-3</v>
      </c>
      <c r="D15" s="5">
        <f>(D5)*C15</f>
        <v>81.365340000000003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339.02224999999999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135.60890000000001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2007.01172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1130.0289637000001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1130.0289637000001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2260.0579274000002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433.94848000000002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376.72152419999998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810.67000419999999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334.54715629999998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334.54715629999998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30.105175800000001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30.105175800000001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13.425281099999999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13.425281099999999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5455.8172648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19016.707264799999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>
        <v>85</v>
      </c>
    </row>
    <row r="65" spans="2:4" x14ac:dyDescent="0.35">
      <c r="B65" s="25" t="s">
        <v>58</v>
      </c>
      <c r="C65" s="26"/>
      <c r="D65" s="48">
        <v>60</v>
      </c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2663.3333333333335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21680.040598133332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21680.04</v>
      </c>
      <c r="E85" s="52"/>
    </row>
    <row r="86" spans="1:6" x14ac:dyDescent="0.35">
      <c r="B86" s="41"/>
      <c r="C86" s="42" t="s">
        <v>74</v>
      </c>
      <c r="D86" s="55">
        <f>D85/D4</f>
        <v>1.5987180782382278</v>
      </c>
      <c r="E86" s="52"/>
    </row>
    <row r="87" spans="1:6" x14ac:dyDescent="0.35">
      <c r="B87" s="96" t="s">
        <v>75</v>
      </c>
      <c r="C87" s="97"/>
      <c r="D87" s="5">
        <f>ROUND(D85*12,2)</f>
        <v>260160.48</v>
      </c>
      <c r="E87" s="45"/>
      <c r="F87" s="44"/>
    </row>
    <row r="88" spans="1:6" ht="21.5" thickBot="1" x14ac:dyDescent="0.4">
      <c r="B88" s="36" t="s">
        <v>76</v>
      </c>
      <c r="C88" s="37">
        <v>10</v>
      </c>
      <c r="D88" s="38">
        <f>D87*C88</f>
        <v>2601604.8000000003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D31BCD41-35C2-4125-83B5-5A513FDAD50D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4DAD-56B3-484D-8D15-03F281EE24CD}">
  <dimension ref="A1:G110"/>
  <sheetViews>
    <sheetView topLeftCell="A61" zoomScaleNormal="100" workbookViewId="0">
      <selection activeCell="C79" sqref="C79:C82"/>
    </sheetView>
  </sheetViews>
  <sheetFormatPr defaultColWidth="8.90625" defaultRowHeight="14.5" x14ac:dyDescent="0.35"/>
  <cols>
    <col min="1" max="1" width="2.36328125" customWidth="1"/>
    <col min="2" max="2" width="68.3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82</v>
      </c>
    </row>
    <row r="2" spans="1:6" ht="44" thickBot="1" x14ac:dyDescent="0.4">
      <c r="B2" s="123" t="s">
        <v>83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9913.19</v>
      </c>
    </row>
    <row r="5" spans="1:6" x14ac:dyDescent="0.35">
      <c r="B5" s="98" t="s">
        <v>6</v>
      </c>
      <c r="C5" s="99"/>
      <c r="D5" s="2">
        <f>D4</f>
        <v>9913.19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793.05520000000001</v>
      </c>
    </row>
    <row r="12" spans="1:6" x14ac:dyDescent="0.35">
      <c r="B12" s="3" t="s">
        <v>12</v>
      </c>
      <c r="C12" s="4">
        <v>1.4999999999999999E-2</v>
      </c>
      <c r="D12" s="5">
        <f>(D5)*C12</f>
        <v>148.69784999999999</v>
      </c>
    </row>
    <row r="13" spans="1:6" x14ac:dyDescent="0.35">
      <c r="B13" s="3" t="s">
        <v>13</v>
      </c>
      <c r="C13" s="4">
        <v>0.01</v>
      </c>
      <c r="D13" s="5">
        <f>(D5)*C13</f>
        <v>99.131900000000002</v>
      </c>
    </row>
    <row r="14" spans="1:6" x14ac:dyDescent="0.35">
      <c r="B14" s="3" t="s">
        <v>14</v>
      </c>
      <c r="C14" s="4">
        <v>2E-3</v>
      </c>
      <c r="D14" s="5">
        <f>(D5)*C14</f>
        <v>19.82638</v>
      </c>
    </row>
    <row r="15" spans="1:6" x14ac:dyDescent="0.35">
      <c r="B15" s="3" t="s">
        <v>15</v>
      </c>
      <c r="C15" s="4">
        <v>6.0000000000000001E-3</v>
      </c>
      <c r="D15" s="5">
        <f>(D5)*C15</f>
        <v>59.479140000000001</v>
      </c>
    </row>
    <row r="16" spans="1:6" x14ac:dyDescent="0.35">
      <c r="B16" s="3" t="s">
        <v>16</v>
      </c>
      <c r="C16" s="4">
        <v>2.5000000000000001E-2</v>
      </c>
      <c r="D16" s="5">
        <f>(D5)*C16</f>
        <v>247.82975000000002</v>
      </c>
    </row>
    <row r="17" spans="2:6" x14ac:dyDescent="0.35">
      <c r="B17" s="3" t="s">
        <v>17</v>
      </c>
      <c r="C17" s="6">
        <f>2%*0.5</f>
        <v>0.01</v>
      </c>
      <c r="D17" s="5">
        <f>(D5)*C17</f>
        <v>99.131900000000002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1467.1521200000002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826.06612270000005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826.06612270000005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1652.1322454000001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x14ac:dyDescent="0.35">
      <c r="B34" s="3" t="s">
        <v>32</v>
      </c>
      <c r="C34" s="11">
        <f>ROUND((40%*8%),5)</f>
        <v>3.2000000000000001E-2</v>
      </c>
      <c r="D34" s="5">
        <f>(D5)*C34</f>
        <v>317.22208000000001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275.38841819999999</v>
      </c>
      <c r="E35" s="45"/>
    </row>
    <row r="36" spans="2:5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592.61049819999994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244.55839730000002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244.55839730000002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22.007281800000001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22.007281800000001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9.8140581000000005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9.8140581000000005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3988.2746008000004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13901.464600800002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>
        <v>85</v>
      </c>
    </row>
    <row r="65" spans="2:4" x14ac:dyDescent="0.35">
      <c r="B65" s="25" t="s">
        <v>58</v>
      </c>
      <c r="C65" s="26"/>
      <c r="D65" s="48">
        <v>60</v>
      </c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2663.3333333333335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16564.797934133334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16564.8</v>
      </c>
      <c r="E85" s="52"/>
    </row>
    <row r="86" spans="1:6" x14ac:dyDescent="0.35">
      <c r="B86" s="41"/>
      <c r="C86" s="42" t="s">
        <v>74</v>
      </c>
      <c r="D86" s="55">
        <f>D85/D4</f>
        <v>1.6709858279726302</v>
      </c>
      <c r="E86" s="52"/>
    </row>
    <row r="87" spans="1:6" x14ac:dyDescent="0.35">
      <c r="B87" s="96" t="s">
        <v>75</v>
      </c>
      <c r="C87" s="97"/>
      <c r="D87" s="5">
        <f>ROUND(D85*12,2)</f>
        <v>198777.60000000001</v>
      </c>
      <c r="E87" s="45"/>
      <c r="F87" s="44"/>
    </row>
    <row r="88" spans="1:6" ht="21.5" thickBot="1" x14ac:dyDescent="0.4">
      <c r="B88" s="36" t="s">
        <v>76</v>
      </c>
      <c r="C88" s="37">
        <v>4</v>
      </c>
      <c r="D88" s="38">
        <f>D87*C88</f>
        <v>795110.40000000002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phoneticPr fontId="6" type="noConversion"/>
  <hyperlinks>
    <hyperlink ref="F61" r:id="rId1" xr:uid="{4BC14279-FBF8-445C-995E-17CD9E3768A9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B717-76BD-E543-86E3-0C95E359455F}">
  <dimension ref="A1:G110"/>
  <sheetViews>
    <sheetView zoomScaleNormal="100" workbookViewId="0">
      <selection activeCell="C80" sqref="C80:C81"/>
    </sheetView>
  </sheetViews>
  <sheetFormatPr defaultColWidth="8.90625" defaultRowHeight="14.5" x14ac:dyDescent="0.35"/>
  <cols>
    <col min="1" max="1" width="2.36328125" customWidth="1"/>
    <col min="2" max="2" width="68.3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82</v>
      </c>
    </row>
    <row r="2" spans="1:6" ht="44" thickBot="1" x14ac:dyDescent="0.4">
      <c r="B2" s="123" t="s">
        <v>84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9913.19</v>
      </c>
    </row>
    <row r="5" spans="1:6" x14ac:dyDescent="0.35">
      <c r="B5" s="98" t="s">
        <v>6</v>
      </c>
      <c r="C5" s="99"/>
      <c r="D5" s="2">
        <f>D4</f>
        <v>9913.19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793.05520000000001</v>
      </c>
    </row>
    <row r="12" spans="1:6" x14ac:dyDescent="0.35">
      <c r="B12" s="3" t="s">
        <v>12</v>
      </c>
      <c r="C12" s="4">
        <v>1.4999999999999999E-2</v>
      </c>
      <c r="D12" s="5">
        <f>(D5)*C12</f>
        <v>148.69784999999999</v>
      </c>
    </row>
    <row r="13" spans="1:6" x14ac:dyDescent="0.35">
      <c r="B13" s="3" t="s">
        <v>13</v>
      </c>
      <c r="C13" s="4">
        <v>0.01</v>
      </c>
      <c r="D13" s="5">
        <f>(D5)*C13</f>
        <v>99.131900000000002</v>
      </c>
    </row>
    <row r="14" spans="1:6" x14ac:dyDescent="0.35">
      <c r="B14" s="3" t="s">
        <v>14</v>
      </c>
      <c r="C14" s="4">
        <v>2E-3</v>
      </c>
      <c r="D14" s="5">
        <f>(D5)*C14</f>
        <v>19.82638</v>
      </c>
    </row>
    <row r="15" spans="1:6" x14ac:dyDescent="0.35">
      <c r="B15" s="3" t="s">
        <v>15</v>
      </c>
      <c r="C15" s="4">
        <v>6.0000000000000001E-3</v>
      </c>
      <c r="D15" s="5">
        <f>(D5)*C15</f>
        <v>59.479140000000001</v>
      </c>
    </row>
    <row r="16" spans="1:6" x14ac:dyDescent="0.35">
      <c r="B16" s="3" t="s">
        <v>16</v>
      </c>
      <c r="C16" s="4">
        <v>2.5000000000000001E-2</v>
      </c>
      <c r="D16" s="5">
        <f>(D5)*C16</f>
        <v>247.82975000000002</v>
      </c>
    </row>
    <row r="17" spans="2:6" x14ac:dyDescent="0.35">
      <c r="B17" s="3" t="s">
        <v>17</v>
      </c>
      <c r="C17" s="6">
        <f>2%*0.5</f>
        <v>0.01</v>
      </c>
      <c r="D17" s="5">
        <f>(D5)*C17</f>
        <v>99.131900000000002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1467.1521200000002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826.06612270000005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826.06612270000005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1652.1322454000001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x14ac:dyDescent="0.35">
      <c r="B34" s="3" t="s">
        <v>32</v>
      </c>
      <c r="C34" s="11">
        <f>ROUND((40%*8%),5)</f>
        <v>3.2000000000000001E-2</v>
      </c>
      <c r="D34" s="5">
        <f>(D5)*C34</f>
        <v>317.22208000000001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275.38841819999999</v>
      </c>
      <c r="E35" s="45"/>
    </row>
    <row r="36" spans="2:5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592.61049819999994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244.55839730000002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244.55839730000002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22.007281800000001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22.007281800000001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9.8140581000000005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9.8140581000000005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3988.2746008000004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13901.464600800002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/>
    </row>
    <row r="60" spans="1:7" x14ac:dyDescent="0.35">
      <c r="B60" s="25" t="s">
        <v>52</v>
      </c>
      <c r="C60" s="26"/>
      <c r="D60" s="48"/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>
        <v>85</v>
      </c>
    </row>
    <row r="65" spans="2:4" x14ac:dyDescent="0.35">
      <c r="B65" s="25" t="s">
        <v>58</v>
      </c>
      <c r="C65" s="26"/>
      <c r="D65" s="48">
        <v>60</v>
      </c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2663.3333333333335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16564.797934133334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16564.8</v>
      </c>
      <c r="E85" s="52"/>
    </row>
    <row r="86" spans="1:6" x14ac:dyDescent="0.35">
      <c r="B86" s="41"/>
      <c r="C86" s="42" t="s">
        <v>74</v>
      </c>
      <c r="D86" s="55">
        <f>D85/D4</f>
        <v>1.6709858279726302</v>
      </c>
      <c r="E86" s="52"/>
    </row>
    <row r="87" spans="1:6" x14ac:dyDescent="0.35">
      <c r="B87" s="96" t="s">
        <v>75</v>
      </c>
      <c r="C87" s="97"/>
      <c r="D87" s="5">
        <f>ROUND(D85*12,2)</f>
        <v>198777.60000000001</v>
      </c>
      <c r="E87" s="45"/>
      <c r="F87" s="44"/>
    </row>
    <row r="88" spans="1:6" ht="21.5" thickBot="1" x14ac:dyDescent="0.4">
      <c r="B88" s="36" t="s">
        <v>76</v>
      </c>
      <c r="C88" s="37">
        <v>1</v>
      </c>
      <c r="D88" s="38">
        <f>D87*C88</f>
        <v>198777.60000000001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7:D7"/>
    <mergeCell ref="B2:D2"/>
    <mergeCell ref="B3:D3"/>
    <mergeCell ref="B4:C4"/>
    <mergeCell ref="B5:C5"/>
    <mergeCell ref="B6:D6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</mergeCells>
  <hyperlinks>
    <hyperlink ref="F61" r:id="rId1" xr:uid="{3EADD828-FD10-41CC-B9B0-2D309F79C2EF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910C-BCFB-4173-A2EA-6B8526E6A63D}">
  <dimension ref="A1:G110"/>
  <sheetViews>
    <sheetView workbookViewId="0">
      <selection activeCell="C80" sqref="C80:C81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23" t="s">
        <v>85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12861.5</v>
      </c>
    </row>
    <row r="5" spans="1:6" x14ac:dyDescent="0.35">
      <c r="B5" s="98" t="s">
        <v>6</v>
      </c>
      <c r="C5" s="99"/>
      <c r="D5" s="2">
        <f>D4</f>
        <v>12861.5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1028.92</v>
      </c>
    </row>
    <row r="12" spans="1:6" x14ac:dyDescent="0.35">
      <c r="B12" s="3" t="s">
        <v>12</v>
      </c>
      <c r="C12" s="4">
        <v>1.4999999999999999E-2</v>
      </c>
      <c r="D12" s="5">
        <f>(D5)*C12</f>
        <v>192.92249999999999</v>
      </c>
    </row>
    <row r="13" spans="1:6" x14ac:dyDescent="0.35">
      <c r="B13" s="3" t="s">
        <v>13</v>
      </c>
      <c r="C13" s="4">
        <v>0.01</v>
      </c>
      <c r="D13" s="5">
        <f>(D5)*C13</f>
        <v>128.61500000000001</v>
      </c>
    </row>
    <row r="14" spans="1:6" x14ac:dyDescent="0.35">
      <c r="B14" s="3" t="s">
        <v>14</v>
      </c>
      <c r="C14" s="4">
        <v>2E-3</v>
      </c>
      <c r="D14" s="5">
        <f>(D5)*C14</f>
        <v>25.722999999999999</v>
      </c>
    </row>
    <row r="15" spans="1:6" x14ac:dyDescent="0.35">
      <c r="B15" s="3" t="s">
        <v>15</v>
      </c>
      <c r="C15" s="4">
        <v>6.0000000000000001E-3</v>
      </c>
      <c r="D15" s="5">
        <f>(D5)*C15</f>
        <v>77.168999999999997</v>
      </c>
    </row>
    <row r="16" spans="1:6" x14ac:dyDescent="0.35">
      <c r="B16" s="3" t="s">
        <v>16</v>
      </c>
      <c r="C16" s="4">
        <v>2.5000000000000001E-2</v>
      </c>
      <c r="D16" s="5">
        <f>(D5)*C16</f>
        <v>321.53750000000002</v>
      </c>
    </row>
    <row r="17" spans="2:6" x14ac:dyDescent="0.35">
      <c r="B17" s="3" t="s">
        <v>17</v>
      </c>
      <c r="C17" s="6">
        <f>2%*0.5</f>
        <v>0.01</v>
      </c>
      <c r="D17" s="5">
        <f>(D5)*C17</f>
        <v>128.61500000000001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1903.5020000000002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1071.748795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1071.748795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2143.4975899999999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411.56799999999998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357.29246999999998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768.86046999999996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317.293205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317.293205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28.552530000000001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28.552530000000001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12.732885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12.732885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5174.4386800000002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18035.938679999999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58</v>
      </c>
      <c r="C65" s="26"/>
      <c r="D65" s="48"/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2518.3333333333335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20554.272013333331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20554.27</v>
      </c>
      <c r="E85" s="52"/>
    </row>
    <row r="86" spans="1:6" x14ac:dyDescent="0.35">
      <c r="B86" s="41"/>
      <c r="C86" s="42" t="s">
        <v>74</v>
      </c>
      <c r="D86" s="55">
        <f>D85/D4</f>
        <v>1.5981238580258912</v>
      </c>
      <c r="E86" s="52"/>
    </row>
    <row r="87" spans="1:6" x14ac:dyDescent="0.35">
      <c r="B87" s="96" t="s">
        <v>75</v>
      </c>
      <c r="C87" s="97"/>
      <c r="D87" s="5">
        <f>ROUND(D85*12,2)</f>
        <v>246651.24</v>
      </c>
      <c r="E87" s="45"/>
      <c r="F87" s="44"/>
    </row>
    <row r="88" spans="1:6" ht="21.5" thickBot="1" x14ac:dyDescent="0.4">
      <c r="B88" s="36" t="s">
        <v>76</v>
      </c>
      <c r="C88" s="37">
        <v>1</v>
      </c>
      <c r="D88" s="38">
        <f>D87*C88</f>
        <v>246651.24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3E8EEC45-4E37-4DAA-9778-EAA00AC12C3F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AD84-7182-D944-A158-24FD2833057C}">
  <dimension ref="A1:G110"/>
  <sheetViews>
    <sheetView workbookViewId="0">
      <selection activeCell="C80" sqref="C80:C81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23" t="s">
        <v>86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6602.48</v>
      </c>
    </row>
    <row r="5" spans="1:6" x14ac:dyDescent="0.35">
      <c r="B5" s="98" t="s">
        <v>6</v>
      </c>
      <c r="C5" s="99"/>
      <c r="D5" s="2">
        <f>D4</f>
        <v>6602.48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528.19839999999999</v>
      </c>
    </row>
    <row r="12" spans="1:6" x14ac:dyDescent="0.35">
      <c r="B12" s="3" t="s">
        <v>12</v>
      </c>
      <c r="C12" s="4">
        <v>1.4999999999999999E-2</v>
      </c>
      <c r="D12" s="5">
        <f>(D5)*C12</f>
        <v>99.037199999999984</v>
      </c>
    </row>
    <row r="13" spans="1:6" x14ac:dyDescent="0.35">
      <c r="B13" s="3" t="s">
        <v>13</v>
      </c>
      <c r="C13" s="4">
        <v>0.01</v>
      </c>
      <c r="D13" s="5">
        <f>(D5)*C13</f>
        <v>66.024799999999999</v>
      </c>
    </row>
    <row r="14" spans="1:6" x14ac:dyDescent="0.35">
      <c r="B14" s="3" t="s">
        <v>14</v>
      </c>
      <c r="C14" s="4">
        <v>2E-3</v>
      </c>
      <c r="D14" s="5">
        <f>(D5)*C14</f>
        <v>13.20496</v>
      </c>
    </row>
    <row r="15" spans="1:6" x14ac:dyDescent="0.35">
      <c r="B15" s="3" t="s">
        <v>15</v>
      </c>
      <c r="C15" s="4">
        <v>6.0000000000000001E-3</v>
      </c>
      <c r="D15" s="5">
        <f>(D5)*C15</f>
        <v>39.614879999999999</v>
      </c>
    </row>
    <row r="16" spans="1:6" x14ac:dyDescent="0.35">
      <c r="B16" s="3" t="s">
        <v>16</v>
      </c>
      <c r="C16" s="4">
        <v>2.5000000000000001E-2</v>
      </c>
      <c r="D16" s="5">
        <f>(D5)*C16</f>
        <v>165.06200000000001</v>
      </c>
    </row>
    <row r="17" spans="2:6" x14ac:dyDescent="0.35">
      <c r="B17" s="3" t="s">
        <v>17</v>
      </c>
      <c r="C17" s="6">
        <f>2%*0.5</f>
        <v>0.01</v>
      </c>
      <c r="D17" s="5">
        <f>(D5)*C17</f>
        <v>66.024799999999999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977.16704000000004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550.18465839999999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550.18465839999999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1100.3693168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211.27936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183.41689439999999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394.69625439999999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162.8831816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162.8831816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14.6575056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14.6575056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6.5364551999999998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6.5364551999999998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2656.3097536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9258.7897536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58</v>
      </c>
      <c r="C65" s="26"/>
      <c r="D65" s="48"/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2518.3333333333335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11777.123086933334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11777.12</v>
      </c>
      <c r="E85" s="52"/>
    </row>
    <row r="86" spans="1:6" x14ac:dyDescent="0.35">
      <c r="B86" s="41"/>
      <c r="C86" s="42" t="s">
        <v>74</v>
      </c>
      <c r="D86" s="55">
        <f>D85/D4</f>
        <v>1.7837418666925158</v>
      </c>
      <c r="E86" s="52"/>
    </row>
    <row r="87" spans="1:6" x14ac:dyDescent="0.35">
      <c r="B87" s="96" t="s">
        <v>75</v>
      </c>
      <c r="C87" s="97"/>
      <c r="D87" s="5">
        <f>ROUND(D85*12,2)</f>
        <v>141325.44</v>
      </c>
      <c r="E87" s="45"/>
      <c r="F87" s="44"/>
    </row>
    <row r="88" spans="1:6" ht="21.5" thickBot="1" x14ac:dyDescent="0.4">
      <c r="B88" s="36" t="s">
        <v>76</v>
      </c>
      <c r="C88" s="37">
        <v>3</v>
      </c>
      <c r="D88" s="38">
        <f>D87*C88</f>
        <v>423976.32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7:D7"/>
    <mergeCell ref="B2:D2"/>
    <mergeCell ref="B3:D3"/>
    <mergeCell ref="B4:C4"/>
    <mergeCell ref="B5:C5"/>
    <mergeCell ref="B6:D6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</mergeCells>
  <hyperlinks>
    <hyperlink ref="F61" r:id="rId1" xr:uid="{0846B579-C381-465E-BFC4-5B5D84CA8306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DEB1-0844-413A-9E53-0B87D62F6BB4}">
  <dimension ref="A1:G110"/>
  <sheetViews>
    <sheetView zoomScale="120" zoomScaleNormal="120" workbookViewId="0">
      <selection activeCell="C80" sqref="C80:C81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23" t="s">
        <v>87</v>
      </c>
      <c r="C2" s="124"/>
      <c r="D2" s="125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8209.41</v>
      </c>
    </row>
    <row r="5" spans="1:6" x14ac:dyDescent="0.35">
      <c r="B5" s="98" t="s">
        <v>6</v>
      </c>
      <c r="C5" s="99"/>
      <c r="D5" s="2">
        <f>D4</f>
        <v>8209.41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/>
      <c r="D10" s="5">
        <f>D5*C10</f>
        <v>0</v>
      </c>
    </row>
    <row r="11" spans="1:6" x14ac:dyDescent="0.35">
      <c r="B11" s="3" t="s">
        <v>11</v>
      </c>
      <c r="C11" s="4">
        <v>0.08</v>
      </c>
      <c r="D11" s="5">
        <f>(D5)*C11</f>
        <v>656.75279999999998</v>
      </c>
    </row>
    <row r="12" spans="1:6" x14ac:dyDescent="0.35">
      <c r="B12" s="3" t="s">
        <v>12</v>
      </c>
      <c r="C12" s="4">
        <v>1.4999999999999999E-2</v>
      </c>
      <c r="D12" s="5">
        <f>(D5)*C12</f>
        <v>123.14115</v>
      </c>
    </row>
    <row r="13" spans="1:6" ht="15" customHeight="1" x14ac:dyDescent="0.35">
      <c r="B13" s="3" t="s">
        <v>13</v>
      </c>
      <c r="C13" s="4">
        <v>0.01</v>
      </c>
      <c r="D13" s="5">
        <f>(D5)*C13</f>
        <v>82.094099999999997</v>
      </c>
    </row>
    <row r="14" spans="1:6" x14ac:dyDescent="0.35">
      <c r="B14" s="3" t="s">
        <v>14</v>
      </c>
      <c r="C14" s="4">
        <v>2E-3</v>
      </c>
      <c r="D14" s="5">
        <f>(D5)*C14</f>
        <v>16.41882</v>
      </c>
    </row>
    <row r="15" spans="1:6" x14ac:dyDescent="0.35">
      <c r="B15" s="3" t="s">
        <v>15</v>
      </c>
      <c r="C15" s="4">
        <v>6.0000000000000001E-3</v>
      </c>
      <c r="D15" s="5">
        <f>(D5)*C15</f>
        <v>49.256459999999997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205.23525000000001</v>
      </c>
    </row>
    <row r="17" spans="2:6" ht="22.5" customHeight="1" x14ac:dyDescent="0.35">
      <c r="B17" s="3" t="s">
        <v>17</v>
      </c>
      <c r="C17" s="59"/>
      <c r="D17" s="5">
        <f>(D5)*C17</f>
        <v>0</v>
      </c>
    </row>
    <row r="18" spans="2:6" x14ac:dyDescent="0.35">
      <c r="B18" s="7" t="s">
        <v>18</v>
      </c>
      <c r="C18" s="8">
        <f>SUM(C10:C17)</f>
        <v>0.13800000000000001</v>
      </c>
      <c r="D18" s="1">
        <f>SUM(D10:D17)</f>
        <v>1132.89858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684.09013530000004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684.09013530000004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1368.1802706000001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262.70112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228.05740979999999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490.75852980000002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2.3E-2</v>
      </c>
      <c r="D40" s="5">
        <f>D5*C40</f>
        <v>188.81643</v>
      </c>
      <c r="E40" s="45"/>
    </row>
    <row r="41" spans="2:5" x14ac:dyDescent="0.35">
      <c r="B41" s="7" t="s">
        <v>38</v>
      </c>
      <c r="C41" s="8">
        <f>SUM(C40)</f>
        <v>2.3E-2</v>
      </c>
      <c r="D41" s="1">
        <f>SUM(D40)</f>
        <v>188.81643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18.224890200000001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18.224890200000001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9.2000000000000003E-4</v>
      </c>
      <c r="D50" s="16">
        <f>D5*C50</f>
        <v>7.5526572000000005</v>
      </c>
      <c r="E50" s="45"/>
    </row>
    <row r="51" spans="1:7" x14ac:dyDescent="0.35">
      <c r="B51" s="7" t="s">
        <v>46</v>
      </c>
      <c r="C51" s="17">
        <f>SUM(C50)</f>
        <v>9.2000000000000003E-4</v>
      </c>
      <c r="D51" s="1">
        <f>SUM(D50)</f>
        <v>7.5526572000000005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0.39058000000000004</v>
      </c>
      <c r="D53" s="1">
        <f>D51+D47+D41+D37+D29+D18</f>
        <v>3206.4313578000001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11415.8413578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58</v>
      </c>
      <c r="C65" s="26"/>
      <c r="D65" s="48"/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2518.3333333333335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13934.174691133334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65"/>
      <c r="D79" s="5">
        <f>(D71+D76)/(1-C83)*C79</f>
        <v>0</v>
      </c>
    </row>
    <row r="80" spans="2:4" x14ac:dyDescent="0.35">
      <c r="B80" s="3" t="s">
        <v>69</v>
      </c>
      <c r="C80" s="95"/>
      <c r="D80" s="5">
        <f>(D71+D76)/(1-C83)*C80</f>
        <v>0</v>
      </c>
    </row>
    <row r="81" spans="1:6" x14ac:dyDescent="0.35">
      <c r="B81" s="3" t="s">
        <v>70</v>
      </c>
      <c r="C81" s="95"/>
      <c r="D81" s="5">
        <f>(D71+D76)/(1-C83)*C81</f>
        <v>0</v>
      </c>
    </row>
    <row r="82" spans="1:6" x14ac:dyDescent="0.35">
      <c r="B82" s="3" t="s">
        <v>71</v>
      </c>
      <c r="C82" s="66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13934.17</v>
      </c>
      <c r="E85" s="52"/>
    </row>
    <row r="86" spans="1:6" x14ac:dyDescent="0.35">
      <c r="B86" s="41"/>
      <c r="C86" s="42" t="s">
        <v>74</v>
      </c>
      <c r="D86" s="55">
        <f>D85/D4</f>
        <v>1.6973412218417645</v>
      </c>
      <c r="E86" s="52"/>
    </row>
    <row r="87" spans="1:6" x14ac:dyDescent="0.35">
      <c r="B87" s="96" t="s">
        <v>75</v>
      </c>
      <c r="C87" s="97"/>
      <c r="D87" s="5">
        <f>ROUND(D85*12,2)</f>
        <v>167210.04</v>
      </c>
      <c r="E87" s="45"/>
      <c r="F87" s="44"/>
    </row>
    <row r="88" spans="1:6" ht="21.5" thickBot="1" x14ac:dyDescent="0.4">
      <c r="B88" s="36" t="s">
        <v>76</v>
      </c>
      <c r="C88" s="37">
        <v>2</v>
      </c>
      <c r="D88" s="38">
        <f>D87*C88</f>
        <v>334420.08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293D30D0-8D46-4850-BA46-459F0D2B7B84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515D-6E5F-48AE-A60C-B7BE11E0570B}">
  <dimension ref="A1:G110"/>
  <sheetViews>
    <sheetView topLeftCell="A66" zoomScale="114" workbookViewId="0">
      <selection activeCell="C80" sqref="C80:C81"/>
    </sheetView>
  </sheetViews>
  <sheetFormatPr defaultColWidth="8.90625" defaultRowHeight="14.5" x14ac:dyDescent="0.35"/>
  <cols>
    <col min="1" max="1" width="2.36328125" customWidth="1"/>
    <col min="2" max="2" width="40.6328125" bestFit="1" customWidth="1"/>
    <col min="3" max="3" width="7.6328125" bestFit="1" customWidth="1"/>
    <col min="4" max="4" width="12" bestFit="1" customWidth="1"/>
    <col min="5" max="5" width="2.453125" style="44" customWidth="1"/>
    <col min="6" max="6" width="117.453125" bestFit="1" customWidth="1"/>
  </cols>
  <sheetData>
    <row r="1" spans="1:6" ht="15" thickBot="1" x14ac:dyDescent="0.4">
      <c r="A1" s="44"/>
      <c r="C1" s="44"/>
      <c r="F1" s="56" t="s">
        <v>0</v>
      </c>
    </row>
    <row r="2" spans="1:6" ht="44" thickBot="1" x14ac:dyDescent="0.4">
      <c r="B2" s="131" t="s">
        <v>88</v>
      </c>
      <c r="C2" s="132"/>
      <c r="D2" s="133"/>
      <c r="F2" s="57" t="s">
        <v>2</v>
      </c>
    </row>
    <row r="3" spans="1:6" ht="29" x14ac:dyDescent="0.35">
      <c r="B3" s="126" t="s">
        <v>3</v>
      </c>
      <c r="C3" s="127"/>
      <c r="D3" s="128"/>
      <c r="F3" s="58" t="s">
        <v>4</v>
      </c>
    </row>
    <row r="4" spans="1:6" x14ac:dyDescent="0.35">
      <c r="B4" s="129" t="s">
        <v>5</v>
      </c>
      <c r="C4" s="130"/>
      <c r="D4" s="54">
        <v>13388.84</v>
      </c>
    </row>
    <row r="5" spans="1:6" x14ac:dyDescent="0.35">
      <c r="B5" s="98" t="s">
        <v>6</v>
      </c>
      <c r="C5" s="99"/>
      <c r="D5" s="2">
        <f>D4</f>
        <v>13388.84</v>
      </c>
    </row>
    <row r="6" spans="1:6" x14ac:dyDescent="0.35">
      <c r="B6" s="108"/>
      <c r="C6" s="109"/>
      <c r="D6" s="110"/>
    </row>
    <row r="7" spans="1:6" x14ac:dyDescent="0.35">
      <c r="B7" s="120" t="s">
        <v>7</v>
      </c>
      <c r="C7" s="121"/>
      <c r="D7" s="122"/>
    </row>
    <row r="8" spans="1:6" x14ac:dyDescent="0.35">
      <c r="B8" s="117"/>
      <c r="C8" s="118"/>
      <c r="D8" s="119"/>
    </row>
    <row r="9" spans="1:6" x14ac:dyDescent="0.35">
      <c r="B9" s="114" t="s">
        <v>8</v>
      </c>
      <c r="C9" s="115"/>
      <c r="D9" s="116"/>
    </row>
    <row r="10" spans="1:6" ht="20.25" customHeight="1" x14ac:dyDescent="0.35">
      <c r="B10" s="3" t="s">
        <v>9</v>
      </c>
      <c r="C10" s="43" t="s">
        <v>10</v>
      </c>
      <c r="D10" s="5" t="s">
        <v>10</v>
      </c>
    </row>
    <row r="11" spans="1:6" x14ac:dyDescent="0.35">
      <c r="B11" s="3" t="s">
        <v>11</v>
      </c>
      <c r="C11" s="4">
        <v>0.08</v>
      </c>
      <c r="D11" s="5">
        <f>(D5)*C11</f>
        <v>1071.1071999999999</v>
      </c>
    </row>
    <row r="12" spans="1:6" x14ac:dyDescent="0.35">
      <c r="B12" s="3" t="s">
        <v>12</v>
      </c>
      <c r="C12" s="4">
        <v>1.4999999999999999E-2</v>
      </c>
      <c r="D12" s="5">
        <f>(D5)*C12</f>
        <v>200.83259999999999</v>
      </c>
    </row>
    <row r="13" spans="1:6" ht="15" customHeight="1" x14ac:dyDescent="0.35">
      <c r="B13" s="3" t="s">
        <v>13</v>
      </c>
      <c r="C13" s="4">
        <v>0.01</v>
      </c>
      <c r="D13" s="5">
        <f>(D5)*C13</f>
        <v>133.88839999999999</v>
      </c>
    </row>
    <row r="14" spans="1:6" x14ac:dyDescent="0.35">
      <c r="B14" s="3" t="s">
        <v>14</v>
      </c>
      <c r="C14" s="4">
        <v>2E-3</v>
      </c>
      <c r="D14" s="5">
        <f>(D5)*C14</f>
        <v>26.77768</v>
      </c>
    </row>
    <row r="15" spans="1:6" x14ac:dyDescent="0.35">
      <c r="B15" s="3" t="s">
        <v>15</v>
      </c>
      <c r="C15" s="4">
        <v>6.0000000000000001E-3</v>
      </c>
      <c r="D15" s="5">
        <f>(D5)*C15</f>
        <v>80.333039999999997</v>
      </c>
    </row>
    <row r="16" spans="1:6" ht="21" customHeight="1" x14ac:dyDescent="0.35">
      <c r="B16" s="3" t="s">
        <v>16</v>
      </c>
      <c r="C16" s="4">
        <v>2.5000000000000001E-2</v>
      </c>
      <c r="D16" s="5">
        <f>(D5)*C16</f>
        <v>334.721</v>
      </c>
    </row>
    <row r="17" spans="2:6" ht="22.5" customHeight="1" x14ac:dyDescent="0.35">
      <c r="B17" s="3" t="s">
        <v>17</v>
      </c>
      <c r="C17" s="6">
        <f>2%*0.5</f>
        <v>0.01</v>
      </c>
      <c r="D17" s="5">
        <f>(D5)*C17</f>
        <v>133.88839999999999</v>
      </c>
    </row>
    <row r="18" spans="2:6" x14ac:dyDescent="0.35">
      <c r="B18" s="7" t="s">
        <v>18</v>
      </c>
      <c r="C18" s="8">
        <f>SUM(C10:C17)</f>
        <v>0.14800000000000002</v>
      </c>
      <c r="D18" s="1">
        <f>SUM(D10:D17)</f>
        <v>1981.5483199999999</v>
      </c>
    </row>
    <row r="19" spans="2:6" x14ac:dyDescent="0.35">
      <c r="B19" s="105"/>
      <c r="C19" s="106"/>
      <c r="D19" s="107"/>
    </row>
    <row r="20" spans="2:6" x14ac:dyDescent="0.35">
      <c r="B20" s="114" t="s">
        <v>19</v>
      </c>
      <c r="C20" s="115"/>
      <c r="D20" s="116"/>
    </row>
    <row r="21" spans="2:6" x14ac:dyDescent="0.35">
      <c r="B21" s="3" t="s">
        <v>20</v>
      </c>
      <c r="C21" s="9">
        <f>ROUND((1/12),5)</f>
        <v>8.3330000000000001E-2</v>
      </c>
      <c r="D21" s="5">
        <f>(D5)*C21</f>
        <v>1115.6920372</v>
      </c>
      <c r="F21" s="44"/>
    </row>
    <row r="22" spans="2:6" x14ac:dyDescent="0.35">
      <c r="B22" s="3" t="s">
        <v>21</v>
      </c>
      <c r="C22" s="9">
        <f>ROUND(((1/12)),5)</f>
        <v>8.3330000000000001E-2</v>
      </c>
      <c r="D22" s="5">
        <f>(D5)*C22</f>
        <v>1115.6920372</v>
      </c>
    </row>
    <row r="23" spans="2:6" x14ac:dyDescent="0.35">
      <c r="B23" s="3" t="s">
        <v>22</v>
      </c>
      <c r="C23" s="46"/>
      <c r="D23" s="5">
        <f>(D5)*C23</f>
        <v>0</v>
      </c>
    </row>
    <row r="24" spans="2:6" x14ac:dyDescent="0.35">
      <c r="B24" s="3" t="s">
        <v>23</v>
      </c>
      <c r="C24" s="46"/>
      <c r="D24" s="5">
        <f>(D5)*C24</f>
        <v>0</v>
      </c>
    </row>
    <row r="25" spans="2:6" x14ac:dyDescent="0.35">
      <c r="B25" s="3" t="s">
        <v>24</v>
      </c>
      <c r="C25" s="46"/>
      <c r="D25" s="5">
        <f>(D5)*C25</f>
        <v>0</v>
      </c>
    </row>
    <row r="26" spans="2:6" x14ac:dyDescent="0.35">
      <c r="B26" s="3" t="s">
        <v>25</v>
      </c>
      <c r="C26" s="46"/>
      <c r="D26" s="5">
        <f>(D5)*C26</f>
        <v>0</v>
      </c>
    </row>
    <row r="27" spans="2:6" x14ac:dyDescent="0.35">
      <c r="B27" s="3" t="s">
        <v>26</v>
      </c>
      <c r="C27" s="46"/>
      <c r="D27" s="5">
        <f>(D5)*C27</f>
        <v>0</v>
      </c>
      <c r="E27" s="45"/>
    </row>
    <row r="28" spans="2:6" x14ac:dyDescent="0.35">
      <c r="B28" s="3" t="s">
        <v>27</v>
      </c>
      <c r="C28" s="46"/>
      <c r="D28" s="5">
        <f>(D5)*C28</f>
        <v>0</v>
      </c>
      <c r="E28" s="45"/>
    </row>
    <row r="29" spans="2:6" x14ac:dyDescent="0.35">
      <c r="B29" s="7" t="s">
        <v>28</v>
      </c>
      <c r="C29" s="10">
        <f>SUM(C21:C28)</f>
        <v>0.16666</v>
      </c>
      <c r="D29" s="1">
        <f>SUM(D21:D28)</f>
        <v>2231.3840743999999</v>
      </c>
      <c r="E29" s="45"/>
    </row>
    <row r="30" spans="2:6" x14ac:dyDescent="0.35">
      <c r="B30" s="105"/>
      <c r="C30" s="106"/>
      <c r="D30" s="107"/>
      <c r="E30" s="45"/>
    </row>
    <row r="31" spans="2:6" x14ac:dyDescent="0.35">
      <c r="B31" s="114" t="s">
        <v>29</v>
      </c>
      <c r="C31" s="115"/>
      <c r="D31" s="116"/>
      <c r="E31" s="45"/>
    </row>
    <row r="32" spans="2:6" x14ac:dyDescent="0.35">
      <c r="B32" s="3" t="s">
        <v>30</v>
      </c>
      <c r="C32" s="43"/>
      <c r="D32" s="5">
        <f>(D5)*C32</f>
        <v>0</v>
      </c>
      <c r="E32" s="45"/>
    </row>
    <row r="33" spans="2:5" x14ac:dyDescent="0.35">
      <c r="B33" s="3" t="s">
        <v>31</v>
      </c>
      <c r="C33" s="43"/>
      <c r="D33" s="5">
        <f>(D5)*C33</f>
        <v>0</v>
      </c>
      <c r="E33" s="45"/>
    </row>
    <row r="34" spans="2:5" ht="21" x14ac:dyDescent="0.35">
      <c r="B34" s="3" t="s">
        <v>32</v>
      </c>
      <c r="C34" s="11">
        <f>ROUND((40%*8%),5)</f>
        <v>3.2000000000000001E-2</v>
      </c>
      <c r="D34" s="5">
        <f>(D5)*C34</f>
        <v>428.44288</v>
      </c>
      <c r="E34" s="45"/>
    </row>
    <row r="35" spans="2:5" x14ac:dyDescent="0.35">
      <c r="B35" s="3" t="s">
        <v>33</v>
      </c>
      <c r="C35" s="12">
        <f>ROUND((1/3*1/12),5)</f>
        <v>2.7779999999999999E-2</v>
      </c>
      <c r="D35" s="5">
        <f>(D5)*C35</f>
        <v>371.9419752</v>
      </c>
      <c r="E35" s="45"/>
    </row>
    <row r="36" spans="2:5" ht="21" x14ac:dyDescent="0.35">
      <c r="B36" s="3" t="s">
        <v>34</v>
      </c>
      <c r="C36" s="12">
        <f>ROUND((1/3*C27),5)</f>
        <v>0</v>
      </c>
      <c r="D36" s="5">
        <f>(D5)*C36</f>
        <v>0</v>
      </c>
      <c r="E36" s="45"/>
    </row>
    <row r="37" spans="2:5" x14ac:dyDescent="0.35">
      <c r="B37" s="7" t="s">
        <v>35</v>
      </c>
      <c r="C37" s="10">
        <f>SUM(C32:C36)</f>
        <v>5.978E-2</v>
      </c>
      <c r="D37" s="1">
        <f>SUM(D32:D36)</f>
        <v>800.38485519999995</v>
      </c>
      <c r="E37" s="45"/>
    </row>
    <row r="38" spans="2:5" x14ac:dyDescent="0.35">
      <c r="B38" s="105"/>
      <c r="C38" s="106"/>
      <c r="D38" s="107"/>
      <c r="E38" s="45"/>
    </row>
    <row r="39" spans="2:5" x14ac:dyDescent="0.35">
      <c r="B39" s="114" t="s">
        <v>36</v>
      </c>
      <c r="C39" s="115"/>
      <c r="D39" s="116"/>
      <c r="E39" s="45"/>
    </row>
    <row r="40" spans="2:5" x14ac:dyDescent="0.35">
      <c r="B40" s="3" t="s">
        <v>37</v>
      </c>
      <c r="C40" s="4">
        <f>ROUND((C18*C29),5)</f>
        <v>2.4670000000000001E-2</v>
      </c>
      <c r="D40" s="5">
        <f>D5*C40</f>
        <v>330.30268280000001</v>
      </c>
      <c r="E40" s="45"/>
    </row>
    <row r="41" spans="2:5" x14ac:dyDescent="0.35">
      <c r="B41" s="7" t="s">
        <v>38</v>
      </c>
      <c r="C41" s="8">
        <f>SUM(C40)</f>
        <v>2.4670000000000001E-2</v>
      </c>
      <c r="D41" s="1">
        <f>SUM(D40)</f>
        <v>330.30268280000001</v>
      </c>
      <c r="E41" s="45"/>
    </row>
    <row r="42" spans="2:5" x14ac:dyDescent="0.35">
      <c r="B42" s="105"/>
      <c r="C42" s="106"/>
      <c r="D42" s="107"/>
      <c r="E42" s="45"/>
    </row>
    <row r="43" spans="2:5" x14ac:dyDescent="0.35">
      <c r="B43" s="114" t="s">
        <v>39</v>
      </c>
      <c r="C43" s="115"/>
      <c r="D43" s="116"/>
      <c r="E43" s="45"/>
    </row>
    <row r="44" spans="2:5" x14ac:dyDescent="0.35">
      <c r="B44" s="13" t="s">
        <v>40</v>
      </c>
      <c r="C44" s="11">
        <f>ROUND(8%*C32,5)</f>
        <v>0</v>
      </c>
      <c r="D44" s="5">
        <f>D5*C44</f>
        <v>0</v>
      </c>
      <c r="E44" s="45"/>
    </row>
    <row r="45" spans="2:5" ht="21" x14ac:dyDescent="0.35">
      <c r="B45" s="13" t="s">
        <v>41</v>
      </c>
      <c r="C45" s="11">
        <f>ROUND(8%*C25,5)</f>
        <v>0</v>
      </c>
      <c r="D45" s="5">
        <f>D5*C45</f>
        <v>0</v>
      </c>
      <c r="E45" s="45"/>
    </row>
    <row r="46" spans="2:5" x14ac:dyDescent="0.35">
      <c r="B46" s="3" t="s">
        <v>42</v>
      </c>
      <c r="C46" s="4">
        <f>ROUND(C11*C35,5)</f>
        <v>2.2200000000000002E-3</v>
      </c>
      <c r="D46" s="5">
        <f>D5*C46</f>
        <v>29.723224800000004</v>
      </c>
      <c r="E46" s="45"/>
    </row>
    <row r="47" spans="2:5" x14ac:dyDescent="0.35">
      <c r="B47" s="7" t="s">
        <v>43</v>
      </c>
      <c r="C47" s="14">
        <f>SUM(C44:C46)</f>
        <v>2.2200000000000002E-3</v>
      </c>
      <c r="D47" s="1">
        <f>SUM(D44:D46)</f>
        <v>29.723224800000004</v>
      </c>
      <c r="E47" s="45"/>
    </row>
    <row r="48" spans="2:5" x14ac:dyDescent="0.35">
      <c r="B48" s="105"/>
      <c r="C48" s="106"/>
      <c r="D48" s="107"/>
      <c r="E48" s="45"/>
    </row>
    <row r="49" spans="1:7" x14ac:dyDescent="0.35">
      <c r="B49" s="114" t="s">
        <v>44</v>
      </c>
      <c r="C49" s="115"/>
      <c r="D49" s="116"/>
      <c r="E49" s="45"/>
    </row>
    <row r="50" spans="1:7" ht="21" x14ac:dyDescent="0.35">
      <c r="B50" s="15" t="s">
        <v>45</v>
      </c>
      <c r="C50" s="4">
        <f>ROUND((C18*(4/12)*(2/100)),5)</f>
        <v>9.8999999999999999E-4</v>
      </c>
      <c r="D50" s="16">
        <f>D5*C50</f>
        <v>13.2549516</v>
      </c>
      <c r="E50" s="45"/>
    </row>
    <row r="51" spans="1:7" x14ac:dyDescent="0.35">
      <c r="B51" s="7" t="s">
        <v>46</v>
      </c>
      <c r="C51" s="17">
        <f>SUM(C50)</f>
        <v>9.8999999999999999E-4</v>
      </c>
      <c r="D51" s="1">
        <f>SUM(D50)</f>
        <v>13.2549516</v>
      </c>
      <c r="E51" s="45"/>
    </row>
    <row r="52" spans="1:7" x14ac:dyDescent="0.35">
      <c r="B52" s="18"/>
      <c r="C52" s="19"/>
      <c r="D52" s="20"/>
      <c r="E52" s="45"/>
    </row>
    <row r="53" spans="1:7" x14ac:dyDescent="0.35">
      <c r="B53" s="7" t="s">
        <v>47</v>
      </c>
      <c r="C53" s="17">
        <f>C51+C47+C41+C37+C29+C18</f>
        <v>0.40232000000000001</v>
      </c>
      <c r="D53" s="1">
        <f>D51+D47+D41+D37+D29+D18</f>
        <v>5386.5981087999999</v>
      </c>
      <c r="E53" s="45"/>
    </row>
    <row r="54" spans="1:7" x14ac:dyDescent="0.35">
      <c r="B54" s="18"/>
      <c r="C54" s="19"/>
      <c r="D54" s="20"/>
      <c r="E54" s="45"/>
    </row>
    <row r="55" spans="1:7" x14ac:dyDescent="0.35">
      <c r="B55" s="98" t="s">
        <v>48</v>
      </c>
      <c r="C55" s="99"/>
      <c r="D55" s="1">
        <f>D53+D5</f>
        <v>18775.438108800001</v>
      </c>
      <c r="E55" s="45"/>
    </row>
    <row r="56" spans="1:7" x14ac:dyDescent="0.35">
      <c r="B56" s="15"/>
      <c r="C56" s="21"/>
      <c r="D56" s="22"/>
      <c r="E56" s="45"/>
    </row>
    <row r="57" spans="1:7" ht="15" thickBot="1" x14ac:dyDescent="0.4">
      <c r="B57" s="100" t="s">
        <v>49</v>
      </c>
      <c r="C57" s="101"/>
      <c r="D57" s="102"/>
    </row>
    <row r="58" spans="1:7" x14ac:dyDescent="0.35">
      <c r="B58" s="23" t="s">
        <v>50</v>
      </c>
      <c r="C58" s="24"/>
      <c r="D58" s="47">
        <v>1100</v>
      </c>
    </row>
    <row r="59" spans="1:7" x14ac:dyDescent="0.35">
      <c r="B59" s="25" t="s">
        <v>51</v>
      </c>
      <c r="C59" s="26"/>
      <c r="D59" s="48">
        <v>0</v>
      </c>
    </row>
    <row r="60" spans="1:7" x14ac:dyDescent="0.35">
      <c r="B60" s="25" t="s">
        <v>52</v>
      </c>
      <c r="C60" s="26"/>
      <c r="D60" s="48">
        <v>0</v>
      </c>
    </row>
    <row r="61" spans="1:7" x14ac:dyDescent="0.35">
      <c r="A61" s="27"/>
      <c r="B61" s="25" t="s">
        <v>53</v>
      </c>
      <c r="C61" s="26"/>
      <c r="D61" s="51">
        <f>30*22</f>
        <v>660</v>
      </c>
      <c r="F61" s="91" t="s">
        <v>54</v>
      </c>
      <c r="G61" s="27"/>
    </row>
    <row r="62" spans="1:7" ht="43.5" customHeight="1" x14ac:dyDescent="0.35">
      <c r="B62" s="25" t="s">
        <v>78</v>
      </c>
      <c r="C62" s="26"/>
      <c r="D62" s="48">
        <v>150</v>
      </c>
    </row>
    <row r="63" spans="1:7" x14ac:dyDescent="0.35">
      <c r="B63" s="25" t="s">
        <v>79</v>
      </c>
      <c r="C63" s="26"/>
      <c r="D63" s="48">
        <f>7300/12</f>
        <v>608.33333333333337</v>
      </c>
    </row>
    <row r="64" spans="1:7" x14ac:dyDescent="0.35">
      <c r="B64" s="25" t="s">
        <v>80</v>
      </c>
      <c r="C64" s="26"/>
      <c r="D64" s="48"/>
    </row>
    <row r="65" spans="2:4" x14ac:dyDescent="0.35">
      <c r="B65" s="25" t="s">
        <v>58</v>
      </c>
      <c r="C65" s="26"/>
      <c r="D65" s="48"/>
    </row>
    <row r="66" spans="2:4" x14ac:dyDescent="0.35">
      <c r="B66" s="25" t="s">
        <v>59</v>
      </c>
      <c r="C66" s="26"/>
      <c r="D66" s="48"/>
    </row>
    <row r="67" spans="2:4" x14ac:dyDescent="0.35">
      <c r="B67" s="25" t="s">
        <v>60</v>
      </c>
      <c r="C67" s="53"/>
      <c r="D67" s="48"/>
    </row>
    <row r="68" spans="2:4" x14ac:dyDescent="0.35">
      <c r="B68" s="25"/>
      <c r="C68" s="53"/>
      <c r="D68" s="48"/>
    </row>
    <row r="69" spans="2:4" x14ac:dyDescent="0.35">
      <c r="B69" s="103" t="s">
        <v>61</v>
      </c>
      <c r="C69" s="104"/>
      <c r="D69" s="28">
        <f>SUM(D58:D68)</f>
        <v>2518.3333333333335</v>
      </c>
    </row>
    <row r="70" spans="2:4" x14ac:dyDescent="0.35">
      <c r="B70" s="105"/>
      <c r="C70" s="106"/>
      <c r="D70" s="107"/>
    </row>
    <row r="71" spans="2:4" x14ac:dyDescent="0.35">
      <c r="B71" s="98" t="s">
        <v>62</v>
      </c>
      <c r="C71" s="99"/>
      <c r="D71" s="1">
        <f>SUM(D55,D69)</f>
        <v>21293.771442133333</v>
      </c>
    </row>
    <row r="72" spans="2:4" x14ac:dyDescent="0.35">
      <c r="B72" s="108"/>
      <c r="C72" s="109"/>
      <c r="D72" s="110"/>
    </row>
    <row r="73" spans="2:4" x14ac:dyDescent="0.35">
      <c r="B73" s="111" t="s">
        <v>63</v>
      </c>
      <c r="C73" s="112"/>
      <c r="D73" s="113"/>
    </row>
    <row r="74" spans="2:4" x14ac:dyDescent="0.35">
      <c r="B74" s="29" t="s">
        <v>64</v>
      </c>
      <c r="C74" s="50"/>
      <c r="D74" s="30">
        <f>C74*D71</f>
        <v>0</v>
      </c>
    </row>
    <row r="75" spans="2:4" x14ac:dyDescent="0.35">
      <c r="B75" s="31" t="s">
        <v>65</v>
      </c>
      <c r="C75" s="50"/>
      <c r="D75" s="30">
        <f>C75*(D71+D74)</f>
        <v>0</v>
      </c>
    </row>
    <row r="76" spans="2:4" x14ac:dyDescent="0.35">
      <c r="B76" s="7" t="s">
        <v>66</v>
      </c>
      <c r="C76" s="32">
        <f>SUM(C74:C75)</f>
        <v>0</v>
      </c>
      <c r="D76" s="33">
        <f>D75+D74</f>
        <v>0</v>
      </c>
    </row>
    <row r="77" spans="2:4" x14ac:dyDescent="0.35">
      <c r="B77" s="105"/>
      <c r="C77" s="106"/>
      <c r="D77" s="107"/>
    </row>
    <row r="78" spans="2:4" x14ac:dyDescent="0.35">
      <c r="B78" s="114" t="s">
        <v>67</v>
      </c>
      <c r="C78" s="115"/>
      <c r="D78" s="116"/>
    </row>
    <row r="79" spans="2:4" x14ac:dyDescent="0.35">
      <c r="B79" s="3" t="s">
        <v>68</v>
      </c>
      <c r="C79" s="49"/>
      <c r="D79" s="5">
        <f>(D71+D76)/(1-C83)*C79</f>
        <v>0</v>
      </c>
    </row>
    <row r="80" spans="2:4" x14ac:dyDescent="0.35">
      <c r="B80" s="3" t="s">
        <v>69</v>
      </c>
      <c r="C80" s="49"/>
      <c r="D80" s="5">
        <f>(D71+D76)/(1-C83)*C80</f>
        <v>0</v>
      </c>
    </row>
    <row r="81" spans="1:6" x14ac:dyDescent="0.35">
      <c r="B81" s="3" t="s">
        <v>70</v>
      </c>
      <c r="C81" s="49"/>
      <c r="D81" s="5">
        <f>(D71+D76)/(1-C83)*C81</f>
        <v>0</v>
      </c>
    </row>
    <row r="82" spans="1:6" x14ac:dyDescent="0.35">
      <c r="B82" s="3" t="s">
        <v>71</v>
      </c>
      <c r="C82" s="49"/>
      <c r="D82" s="5">
        <f>(D71+D76)/(1-C83)*C82</f>
        <v>0</v>
      </c>
    </row>
    <row r="83" spans="1:6" x14ac:dyDescent="0.35">
      <c r="B83" s="34" t="s">
        <v>72</v>
      </c>
      <c r="C83" s="35">
        <f>SUM(C79:C82)</f>
        <v>0</v>
      </c>
      <c r="D83" s="33">
        <f>ROUND(SUM(D79:D82),2)</f>
        <v>0</v>
      </c>
    </row>
    <row r="84" spans="1:6" x14ac:dyDescent="0.35">
      <c r="B84" s="105"/>
      <c r="C84" s="106"/>
      <c r="D84" s="107"/>
    </row>
    <row r="85" spans="1:6" x14ac:dyDescent="0.35">
      <c r="B85" s="96" t="s">
        <v>73</v>
      </c>
      <c r="C85" s="97"/>
      <c r="D85" s="5">
        <f>ROUND((D71+D76+D83),2)</f>
        <v>21293.77</v>
      </c>
      <c r="E85" s="52"/>
    </row>
    <row r="86" spans="1:6" x14ac:dyDescent="0.35">
      <c r="B86" s="41"/>
      <c r="C86" s="42" t="s">
        <v>74</v>
      </c>
      <c r="D86" s="55">
        <f>D85/D4</f>
        <v>1.5904118654043218</v>
      </c>
      <c r="E86" s="52"/>
    </row>
    <row r="87" spans="1:6" x14ac:dyDescent="0.35">
      <c r="B87" s="96" t="s">
        <v>75</v>
      </c>
      <c r="C87" s="97"/>
      <c r="D87" s="5">
        <f>ROUND(D85*12,2)</f>
        <v>255525.24</v>
      </c>
      <c r="E87" s="45"/>
      <c r="F87" s="44"/>
    </row>
    <row r="88" spans="1:6" ht="21.5" thickBot="1" x14ac:dyDescent="0.4">
      <c r="B88" s="36" t="s">
        <v>76</v>
      </c>
      <c r="C88" s="37">
        <v>3</v>
      </c>
      <c r="D88" s="38">
        <f>D87*C88</f>
        <v>766575.72</v>
      </c>
      <c r="E88" s="45"/>
    </row>
    <row r="89" spans="1:6" x14ac:dyDescent="0.35">
      <c r="A89" s="44"/>
      <c r="C89" s="44"/>
    </row>
    <row r="90" spans="1:6" x14ac:dyDescent="0.35">
      <c r="A90" s="44"/>
      <c r="C90" s="44"/>
    </row>
    <row r="91" spans="1:6" x14ac:dyDescent="0.35">
      <c r="A91" s="44"/>
      <c r="C91" s="44"/>
    </row>
    <row r="92" spans="1:6" x14ac:dyDescent="0.35">
      <c r="A92" s="44"/>
      <c r="C92" s="44"/>
    </row>
    <row r="93" spans="1:6" x14ac:dyDescent="0.35">
      <c r="A93" s="44"/>
      <c r="C93" s="44"/>
    </row>
    <row r="94" spans="1:6" x14ac:dyDescent="0.35">
      <c r="A94" s="44"/>
      <c r="C94" s="44"/>
    </row>
    <row r="95" spans="1:6" x14ac:dyDescent="0.35">
      <c r="A95" s="44"/>
      <c r="C95" s="44"/>
    </row>
    <row r="96" spans="1:6" x14ac:dyDescent="0.35">
      <c r="A96" s="44"/>
      <c r="C96" s="44"/>
    </row>
    <row r="97" spans="1:3" x14ac:dyDescent="0.35">
      <c r="A97" s="44"/>
      <c r="C97" s="44"/>
    </row>
    <row r="98" spans="1:3" x14ac:dyDescent="0.35">
      <c r="A98" s="44"/>
      <c r="C98" s="44"/>
    </row>
    <row r="99" spans="1:3" x14ac:dyDescent="0.35">
      <c r="A99" s="44"/>
      <c r="C99" s="44"/>
    </row>
    <row r="100" spans="1:3" x14ac:dyDescent="0.35">
      <c r="A100" s="44"/>
      <c r="C100" s="44"/>
    </row>
    <row r="101" spans="1:3" x14ac:dyDescent="0.35">
      <c r="A101" s="44"/>
      <c r="C101" s="44"/>
    </row>
    <row r="102" spans="1:3" x14ac:dyDescent="0.35">
      <c r="A102" s="44"/>
      <c r="C102" s="44"/>
    </row>
    <row r="103" spans="1:3" x14ac:dyDescent="0.35">
      <c r="A103" s="44"/>
      <c r="C103" s="44"/>
    </row>
    <row r="104" spans="1:3" x14ac:dyDescent="0.35">
      <c r="A104" s="44"/>
      <c r="C104" s="44"/>
    </row>
    <row r="105" spans="1:3" x14ac:dyDescent="0.35">
      <c r="A105" s="44"/>
      <c r="C105" s="44"/>
    </row>
    <row r="106" spans="1:3" x14ac:dyDescent="0.35">
      <c r="A106" s="44"/>
      <c r="C106" s="44"/>
    </row>
    <row r="107" spans="1:3" x14ac:dyDescent="0.35">
      <c r="A107" s="44"/>
      <c r="C107" s="44"/>
    </row>
    <row r="108" spans="1:3" x14ac:dyDescent="0.35">
      <c r="A108" s="44"/>
      <c r="C108" s="44"/>
    </row>
    <row r="109" spans="1:3" x14ac:dyDescent="0.35">
      <c r="A109" s="44"/>
      <c r="C109" s="44"/>
    </row>
    <row r="110" spans="1:3" x14ac:dyDescent="0.35">
      <c r="A110" s="44"/>
      <c r="C110" s="44"/>
    </row>
  </sheetData>
  <mergeCells count="30">
    <mergeCell ref="B87:C87"/>
    <mergeCell ref="B55:C55"/>
    <mergeCell ref="B57:D57"/>
    <mergeCell ref="B69:C69"/>
    <mergeCell ref="B70:D70"/>
    <mergeCell ref="B71:C71"/>
    <mergeCell ref="B72:D72"/>
    <mergeCell ref="B73:D73"/>
    <mergeCell ref="B77:D77"/>
    <mergeCell ref="B78:D78"/>
    <mergeCell ref="B84:D84"/>
    <mergeCell ref="B85:C85"/>
    <mergeCell ref="B49:D49"/>
    <mergeCell ref="B8:D8"/>
    <mergeCell ref="B9:D9"/>
    <mergeCell ref="B19:D19"/>
    <mergeCell ref="B20:D20"/>
    <mergeCell ref="B30:D30"/>
    <mergeCell ref="B31:D31"/>
    <mergeCell ref="B38:D38"/>
    <mergeCell ref="B39:D39"/>
    <mergeCell ref="B42:D42"/>
    <mergeCell ref="B43:D43"/>
    <mergeCell ref="B48:D48"/>
    <mergeCell ref="B7:D7"/>
    <mergeCell ref="B2:D2"/>
    <mergeCell ref="B3:D3"/>
    <mergeCell ref="B4:C4"/>
    <mergeCell ref="B5:C5"/>
    <mergeCell ref="B6:D6"/>
  </mergeCells>
  <hyperlinks>
    <hyperlink ref="F61" r:id="rId1" xr:uid="{6F3E9E9A-0BF9-4D45-864A-9335F6C54504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DB9A34BE88024BA960CED27C7654EC" ma:contentTypeVersion="5" ma:contentTypeDescription="Create a new document." ma:contentTypeScope="" ma:versionID="5fb31b256133fdaed6907676ca24b6a4">
  <xsd:schema xmlns:xsd="http://www.w3.org/2001/XMLSchema" xmlns:xs="http://www.w3.org/2001/XMLSchema" xmlns:p="http://schemas.microsoft.com/office/2006/metadata/properties" xmlns:ns2="9e035024-dee4-488c-ae69-99373deee90d" xmlns:ns3="dace3c23-dc35-4a60-9bd2-574dd0c47bf9" targetNamespace="http://schemas.microsoft.com/office/2006/metadata/properties" ma:root="true" ma:fieldsID="e2ad9127688a67af9d6d26f12f38c631" ns2:_="" ns3:_="">
    <xsd:import namespace="9e035024-dee4-488c-ae69-99373deee90d"/>
    <xsd:import namespace="dace3c23-dc35-4a60-9bd2-574dd0c47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35024-dee4-488c-ae69-99373deee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e3c23-dc35-4a60-9bd2-574dd0c47b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AE53B-7846-4C9D-995A-4F32B86E74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36A0D3-5858-4A60-BE34-04FDF9162B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932414-7F22-4281-B869-9E8A40175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35024-dee4-488c-ae69-99373deee90d"/>
    <ds:schemaRef ds:uri="dace3c23-dc35-4a60-9bd2-574dd0c47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</vt:i4>
      </vt:variant>
    </vt:vector>
  </HeadingPairs>
  <TitlesOfParts>
    <vt:vector size="17" baseType="lpstr">
      <vt:lpstr>Arquiteto de Software Java</vt:lpstr>
      <vt:lpstr>Líder Técnico de Desev. De Soft</vt:lpstr>
      <vt:lpstr>Desenvolvedor Sênior Java</vt:lpstr>
      <vt:lpstr>Desenvolvedor Pleno Java</vt:lpstr>
      <vt:lpstr>Desenvolvedor Pleno PHP</vt:lpstr>
      <vt:lpstr>Eng Testes e Qualidade Sênior</vt:lpstr>
      <vt:lpstr>Analista de Testes Qualidade Pl</vt:lpstr>
      <vt:lpstr>Analista Negócio_Requi. Pleno</vt:lpstr>
      <vt:lpstr>Analista de BI Sênior</vt:lpstr>
      <vt:lpstr>Analista de UX_UI Pleno</vt:lpstr>
      <vt:lpstr>Engenheiro de IA Pleno</vt:lpstr>
      <vt:lpstr>Arquiteto de Dados Sênior</vt:lpstr>
      <vt:lpstr>Administrador de Dados Sênior</vt:lpstr>
      <vt:lpstr>Especialista em Cloud Sênior</vt:lpstr>
      <vt:lpstr>Totais</vt:lpstr>
      <vt:lpstr>Memória de cálculo</vt:lpstr>
      <vt:lpstr>'Memória de cálculo'!Area_de_impressao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Mitchell</dc:creator>
  <cp:keywords/>
  <dc:description/>
  <cp:lastModifiedBy>Rogerio Lovantino</cp:lastModifiedBy>
  <cp:revision/>
  <dcterms:created xsi:type="dcterms:W3CDTF">2022-06-07T18:13:44Z</dcterms:created>
  <dcterms:modified xsi:type="dcterms:W3CDTF">2025-07-28T19:09:45Z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0x010100F9DB9A34BE88024BA960CED27C7654EC</vt:lpwstr>
  </property>
</Properties>
</file>